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6915" windowHeight="1560" activeTab="6"/>
  </bookViews>
  <sheets>
    <sheet name="2012" sheetId="7" r:id="rId1"/>
    <sheet name="2013" sheetId="6" r:id="rId2"/>
    <sheet name="2014" sheetId="5" r:id="rId3"/>
    <sheet name="2015" sheetId="2" r:id="rId4"/>
    <sheet name="2016" sheetId="3" r:id="rId5"/>
    <sheet name="2017" sheetId="4" r:id="rId6"/>
    <sheet name="2018" sheetId="1" r:id="rId7"/>
  </sheets>
  <externalReferences>
    <externalReference r:id="rId8"/>
    <externalReference r:id="rId9"/>
    <externalReference r:id="rId10"/>
  </externalReferences>
  <calcPr calcId="144525"/>
</workbook>
</file>

<file path=xl/calcChain.xml><?xml version="1.0" encoding="utf-8"?>
<calcChain xmlns="http://schemas.openxmlformats.org/spreadsheetml/2006/main">
  <c r="O266" i="7" l="1"/>
  <c r="O267" i="7"/>
  <c r="O275" i="7" s="1"/>
  <c r="O268" i="7"/>
  <c r="O274" i="7" s="1"/>
  <c r="O269" i="7"/>
  <c r="O270" i="7"/>
  <c r="C271" i="7"/>
  <c r="O271" i="7" s="1"/>
  <c r="O277" i="7" s="1"/>
  <c r="D271" i="7"/>
  <c r="E271" i="7"/>
  <c r="F271" i="7"/>
  <c r="G271" i="7"/>
  <c r="H271" i="7"/>
  <c r="I271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O272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O273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C275" i="7"/>
  <c r="D275" i="7"/>
  <c r="E275" i="7"/>
  <c r="F275" i="7"/>
  <c r="G275" i="7"/>
  <c r="H275" i="7"/>
  <c r="I275" i="7"/>
  <c r="J275" i="7"/>
  <c r="K275" i="7"/>
  <c r="L275" i="7"/>
  <c r="M275" i="7"/>
  <c r="N275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O278" i="7"/>
  <c r="O279" i="7"/>
  <c r="O280" i="7"/>
  <c r="O281" i="7"/>
  <c r="O259" i="7"/>
  <c r="O258" i="7"/>
  <c r="O257" i="7"/>
  <c r="O256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N249" i="7"/>
  <c r="N255" i="7" s="1"/>
  <c r="M249" i="7"/>
  <c r="M255" i="7" s="1"/>
  <c r="L249" i="7"/>
  <c r="L255" i="7" s="1"/>
  <c r="K249" i="7"/>
  <c r="K255" i="7" s="1"/>
  <c r="J249" i="7"/>
  <c r="J255" i="7" s="1"/>
  <c r="I249" i="7"/>
  <c r="I255" i="7" s="1"/>
  <c r="H249" i="7"/>
  <c r="H255" i="7" s="1"/>
  <c r="G249" i="7"/>
  <c r="G255" i="7" s="1"/>
  <c r="F249" i="7"/>
  <c r="F255" i="7" s="1"/>
  <c r="E249" i="7"/>
  <c r="E255" i="7" s="1"/>
  <c r="D249" i="7"/>
  <c r="D255" i="7" s="1"/>
  <c r="C249" i="7"/>
  <c r="C255" i="7" s="1"/>
  <c r="O248" i="7"/>
  <c r="O247" i="7"/>
  <c r="O246" i="7"/>
  <c r="O245" i="7"/>
  <c r="O253" i="7" s="1"/>
  <c r="O244" i="7"/>
  <c r="O237" i="7"/>
  <c r="O236" i="7"/>
  <c r="O235" i="7"/>
  <c r="N234" i="7"/>
  <c r="N107" i="7" s="1"/>
  <c r="N18" i="7" s="1"/>
  <c r="L234" i="7"/>
  <c r="L107" i="7" s="1"/>
  <c r="K234" i="7"/>
  <c r="K107" i="7" s="1"/>
  <c r="K18" i="7" s="1"/>
  <c r="J234" i="7"/>
  <c r="I234" i="7"/>
  <c r="I107" i="7" s="1"/>
  <c r="H234" i="7"/>
  <c r="H107" i="7" s="1"/>
  <c r="G234" i="7"/>
  <c r="G107" i="7" s="1"/>
  <c r="G18" i="7" s="1"/>
  <c r="F234" i="7"/>
  <c r="F107" i="7" s="1"/>
  <c r="F18" i="7" s="1"/>
  <c r="E234" i="7"/>
  <c r="E107" i="7" s="1"/>
  <c r="D234" i="7"/>
  <c r="D107" i="7" s="1"/>
  <c r="C234" i="7"/>
  <c r="C107" i="7" s="1"/>
  <c r="C18" i="7" s="1"/>
  <c r="N231" i="7"/>
  <c r="M231" i="7"/>
  <c r="L231" i="7"/>
  <c r="K231" i="7"/>
  <c r="J231" i="7"/>
  <c r="I231" i="7"/>
  <c r="H231" i="7"/>
  <c r="G231" i="7"/>
  <c r="F231" i="7"/>
  <c r="E231" i="7"/>
  <c r="D231" i="7"/>
  <c r="C231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N227" i="7"/>
  <c r="M227" i="7"/>
  <c r="M233" i="7" s="1"/>
  <c r="L227" i="7"/>
  <c r="L233" i="7" s="1"/>
  <c r="K227" i="7"/>
  <c r="J227" i="7"/>
  <c r="I227" i="7"/>
  <c r="I233" i="7" s="1"/>
  <c r="H227" i="7"/>
  <c r="H233" i="7" s="1"/>
  <c r="G227" i="7"/>
  <c r="F227" i="7"/>
  <c r="E227" i="7"/>
  <c r="E233" i="7" s="1"/>
  <c r="D227" i="7"/>
  <c r="D233" i="7" s="1"/>
  <c r="C227" i="7"/>
  <c r="O226" i="7"/>
  <c r="O225" i="7"/>
  <c r="O224" i="7"/>
  <c r="O223" i="7"/>
  <c r="O231" i="7" s="1"/>
  <c r="O222" i="7"/>
  <c r="O215" i="7"/>
  <c r="O214" i="7"/>
  <c r="O213" i="7"/>
  <c r="O212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N205" i="7"/>
  <c r="N211" i="7" s="1"/>
  <c r="M205" i="7"/>
  <c r="M211" i="7" s="1"/>
  <c r="L205" i="7"/>
  <c r="L211" i="7" s="1"/>
  <c r="K205" i="7"/>
  <c r="K211" i="7" s="1"/>
  <c r="J205" i="7"/>
  <c r="J211" i="7" s="1"/>
  <c r="I205" i="7"/>
  <c r="I211" i="7" s="1"/>
  <c r="H205" i="7"/>
  <c r="H211" i="7" s="1"/>
  <c r="G205" i="7"/>
  <c r="G211" i="7" s="1"/>
  <c r="F205" i="7"/>
  <c r="F211" i="7" s="1"/>
  <c r="E205" i="7"/>
  <c r="E211" i="7" s="1"/>
  <c r="D205" i="7"/>
  <c r="D211" i="7" s="1"/>
  <c r="C205" i="7"/>
  <c r="C211" i="7" s="1"/>
  <c r="O204" i="7"/>
  <c r="O203" i="7"/>
  <c r="O202" i="7"/>
  <c r="O201" i="7"/>
  <c r="O200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M169" i="7"/>
  <c r="L169" i="7"/>
  <c r="K169" i="7"/>
  <c r="J169" i="7"/>
  <c r="I169" i="7"/>
  <c r="H169" i="7"/>
  <c r="G169" i="7"/>
  <c r="F169" i="7"/>
  <c r="E169" i="7"/>
  <c r="D169" i="7"/>
  <c r="C169" i="7"/>
  <c r="O168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O165" i="7"/>
  <c r="O164" i="7"/>
  <c r="O163" i="7"/>
  <c r="O162" i="7"/>
  <c r="O171" i="7" s="1"/>
  <c r="O161" i="7"/>
  <c r="O154" i="7"/>
  <c r="O153" i="7"/>
  <c r="O152" i="7"/>
  <c r="O151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44" i="7"/>
  <c r="O143" i="7"/>
  <c r="O142" i="7"/>
  <c r="O141" i="7"/>
  <c r="O140" i="7"/>
  <c r="O148" i="7" s="1"/>
  <c r="O139" i="7"/>
  <c r="O132" i="7"/>
  <c r="O131" i="7"/>
  <c r="O130" i="7"/>
  <c r="O129" i="7"/>
  <c r="N128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M122" i="7"/>
  <c r="M128" i="7" s="1"/>
  <c r="L122" i="7"/>
  <c r="L128" i="7" s="1"/>
  <c r="K122" i="7"/>
  <c r="K128" i="7" s="1"/>
  <c r="J122" i="7"/>
  <c r="J128" i="7" s="1"/>
  <c r="I122" i="7"/>
  <c r="I128" i="7" s="1"/>
  <c r="H122" i="7"/>
  <c r="H128" i="7" s="1"/>
  <c r="G122" i="7"/>
  <c r="G128" i="7" s="1"/>
  <c r="F122" i="7"/>
  <c r="F128" i="7" s="1"/>
  <c r="E122" i="7"/>
  <c r="E128" i="7" s="1"/>
  <c r="D122" i="7"/>
  <c r="D128" i="7" s="1"/>
  <c r="C122" i="7"/>
  <c r="C128" i="7" s="1"/>
  <c r="O121" i="7"/>
  <c r="O120" i="7"/>
  <c r="O119" i="7"/>
  <c r="O118" i="7"/>
  <c r="O126" i="7" s="1"/>
  <c r="O117" i="7"/>
  <c r="N110" i="7"/>
  <c r="N23" i="7" s="1"/>
  <c r="M110" i="7"/>
  <c r="M23" i="7" s="1"/>
  <c r="L110" i="7"/>
  <c r="L23" i="7" s="1"/>
  <c r="K110" i="7"/>
  <c r="K23" i="7" s="1"/>
  <c r="J110" i="7"/>
  <c r="J23" i="7" s="1"/>
  <c r="I110" i="7"/>
  <c r="I23" i="7" s="1"/>
  <c r="H110" i="7"/>
  <c r="H23" i="7" s="1"/>
  <c r="G110" i="7"/>
  <c r="G23" i="7" s="1"/>
  <c r="F110" i="7"/>
  <c r="F23" i="7" s="1"/>
  <c r="E110" i="7"/>
  <c r="E23" i="7" s="1"/>
  <c r="D110" i="7"/>
  <c r="D23" i="7" s="1"/>
  <c r="C110" i="7"/>
  <c r="N109" i="7"/>
  <c r="N20" i="7" s="1"/>
  <c r="M109" i="7"/>
  <c r="L109" i="7"/>
  <c r="L20" i="7" s="1"/>
  <c r="K109" i="7"/>
  <c r="K20" i="7" s="1"/>
  <c r="J109" i="7"/>
  <c r="J20" i="7" s="1"/>
  <c r="I109" i="7"/>
  <c r="I20" i="7" s="1"/>
  <c r="H109" i="7"/>
  <c r="H20" i="7" s="1"/>
  <c r="G109" i="7"/>
  <c r="F109" i="7"/>
  <c r="F20" i="7" s="1"/>
  <c r="E109" i="7"/>
  <c r="C109" i="7"/>
  <c r="C20" i="7" s="1"/>
  <c r="N108" i="7"/>
  <c r="N19" i="7" s="1"/>
  <c r="M108" i="7"/>
  <c r="M19" i="7" s="1"/>
  <c r="L108" i="7"/>
  <c r="L19" i="7" s="1"/>
  <c r="K108" i="7"/>
  <c r="K19" i="7" s="1"/>
  <c r="J108" i="7"/>
  <c r="J19" i="7" s="1"/>
  <c r="I108" i="7"/>
  <c r="I19" i="7" s="1"/>
  <c r="H108" i="7"/>
  <c r="H19" i="7" s="1"/>
  <c r="G108" i="7"/>
  <c r="G19" i="7" s="1"/>
  <c r="F108" i="7"/>
  <c r="F19" i="7" s="1"/>
  <c r="E108" i="7"/>
  <c r="E19" i="7" s="1"/>
  <c r="C108" i="7"/>
  <c r="C19" i="7" s="1"/>
  <c r="M107" i="7"/>
  <c r="M18" i="7" s="1"/>
  <c r="J107" i="7"/>
  <c r="J18" i="7" s="1"/>
  <c r="E100" i="7"/>
  <c r="N99" i="7"/>
  <c r="N10" i="7" s="1"/>
  <c r="M99" i="7"/>
  <c r="M10" i="7" s="1"/>
  <c r="L99" i="7"/>
  <c r="L10" i="7" s="1"/>
  <c r="K99" i="7"/>
  <c r="K10" i="7" s="1"/>
  <c r="J99" i="7"/>
  <c r="I99" i="7"/>
  <c r="I10" i="7" s="1"/>
  <c r="H99" i="7"/>
  <c r="H10" i="7" s="1"/>
  <c r="G99" i="7"/>
  <c r="G10" i="7" s="1"/>
  <c r="F99" i="7"/>
  <c r="F10" i="7" s="1"/>
  <c r="E99" i="7"/>
  <c r="E10" i="7" s="1"/>
  <c r="D99" i="7"/>
  <c r="D10" i="7" s="1"/>
  <c r="C99" i="7"/>
  <c r="C10" i="7" s="1"/>
  <c r="N98" i="7"/>
  <c r="N9" i="7" s="1"/>
  <c r="M98" i="7"/>
  <c r="L98" i="7"/>
  <c r="L9" i="7" s="1"/>
  <c r="K98" i="7"/>
  <c r="K9" i="7" s="1"/>
  <c r="J98" i="7"/>
  <c r="J9" i="7" s="1"/>
  <c r="I98" i="7"/>
  <c r="I9" i="7" s="1"/>
  <c r="H98" i="7"/>
  <c r="H9" i="7" s="1"/>
  <c r="G98" i="7"/>
  <c r="G9" i="7" s="1"/>
  <c r="F98" i="7"/>
  <c r="F9" i="7" s="1"/>
  <c r="E98" i="7"/>
  <c r="D98" i="7"/>
  <c r="D9" i="7" s="1"/>
  <c r="C98" i="7"/>
  <c r="C9" i="7" s="1"/>
  <c r="N97" i="7"/>
  <c r="N8" i="7" s="1"/>
  <c r="M97" i="7"/>
  <c r="M8" i="7" s="1"/>
  <c r="L97" i="7"/>
  <c r="K97" i="7"/>
  <c r="K8" i="7" s="1"/>
  <c r="J97" i="7"/>
  <c r="I97" i="7"/>
  <c r="I8" i="7" s="1"/>
  <c r="H97" i="7"/>
  <c r="H103" i="7" s="1"/>
  <c r="G97" i="7"/>
  <c r="G8" i="7" s="1"/>
  <c r="F97" i="7"/>
  <c r="F8" i="7" s="1"/>
  <c r="E97" i="7"/>
  <c r="E8" i="7" s="1"/>
  <c r="D97" i="7"/>
  <c r="D103" i="7" s="1"/>
  <c r="C97" i="7"/>
  <c r="N96" i="7"/>
  <c r="N104" i="7" s="1"/>
  <c r="M96" i="7"/>
  <c r="M104" i="7" s="1"/>
  <c r="L96" i="7"/>
  <c r="L101" i="7" s="1"/>
  <c r="K96" i="7"/>
  <c r="K104" i="7" s="1"/>
  <c r="J96" i="7"/>
  <c r="J104" i="7" s="1"/>
  <c r="I96" i="7"/>
  <c r="I104" i="7" s="1"/>
  <c r="H96" i="7"/>
  <c r="H104" i="7" s="1"/>
  <c r="G96" i="7"/>
  <c r="G104" i="7" s="1"/>
  <c r="F96" i="7"/>
  <c r="F104" i="7" s="1"/>
  <c r="E96" i="7"/>
  <c r="E104" i="7" s="1"/>
  <c r="D96" i="7"/>
  <c r="D101" i="7" s="1"/>
  <c r="C96" i="7"/>
  <c r="C104" i="7" s="1"/>
  <c r="N95" i="7"/>
  <c r="N6" i="7" s="1"/>
  <c r="M95" i="7"/>
  <c r="M6" i="7" s="1"/>
  <c r="L95" i="7"/>
  <c r="L6" i="7" s="1"/>
  <c r="K95" i="7"/>
  <c r="K6" i="7" s="1"/>
  <c r="J95" i="7"/>
  <c r="J6" i="7" s="1"/>
  <c r="I95" i="7"/>
  <c r="I6" i="7" s="1"/>
  <c r="H95" i="7"/>
  <c r="H6" i="7" s="1"/>
  <c r="G95" i="7"/>
  <c r="G6" i="7" s="1"/>
  <c r="F95" i="7"/>
  <c r="F6" i="7" s="1"/>
  <c r="E95" i="7"/>
  <c r="E6" i="7" s="1"/>
  <c r="D95" i="7"/>
  <c r="D6" i="7" s="1"/>
  <c r="C95" i="7"/>
  <c r="C6" i="7" s="1"/>
  <c r="O88" i="7"/>
  <c r="O87" i="7"/>
  <c r="O86" i="7"/>
  <c r="O85" i="7"/>
  <c r="N82" i="7"/>
  <c r="M82" i="7"/>
  <c r="L82" i="7"/>
  <c r="K82" i="7"/>
  <c r="J82" i="7"/>
  <c r="I82" i="7"/>
  <c r="H82" i="7"/>
  <c r="G82" i="7"/>
  <c r="F82" i="7"/>
  <c r="E82" i="7"/>
  <c r="D82" i="7"/>
  <c r="C82" i="7"/>
  <c r="N81" i="7"/>
  <c r="M81" i="7"/>
  <c r="L81" i="7"/>
  <c r="K81" i="7"/>
  <c r="J81" i="7"/>
  <c r="I81" i="7"/>
  <c r="H81" i="7"/>
  <c r="G81" i="7"/>
  <c r="F81" i="7"/>
  <c r="E81" i="7"/>
  <c r="D81" i="7"/>
  <c r="C81" i="7"/>
  <c r="N80" i="7"/>
  <c r="M80" i="7"/>
  <c r="L80" i="7"/>
  <c r="K80" i="7"/>
  <c r="J80" i="7"/>
  <c r="I80" i="7"/>
  <c r="H80" i="7"/>
  <c r="F80" i="7"/>
  <c r="E80" i="7"/>
  <c r="D80" i="7"/>
  <c r="C80" i="7"/>
  <c r="N79" i="7"/>
  <c r="M79" i="7"/>
  <c r="L79" i="7"/>
  <c r="K79" i="7"/>
  <c r="J79" i="7"/>
  <c r="I79" i="7"/>
  <c r="H79" i="7"/>
  <c r="G79" i="7"/>
  <c r="F79" i="7"/>
  <c r="E79" i="7"/>
  <c r="D79" i="7"/>
  <c r="C79" i="7"/>
  <c r="N78" i="7"/>
  <c r="N84" i="7" s="1"/>
  <c r="M78" i="7"/>
  <c r="M84" i="7" s="1"/>
  <c r="L78" i="7"/>
  <c r="L84" i="7" s="1"/>
  <c r="K78" i="7"/>
  <c r="K84" i="7" s="1"/>
  <c r="J78" i="7"/>
  <c r="J84" i="7" s="1"/>
  <c r="I78" i="7"/>
  <c r="I84" i="7" s="1"/>
  <c r="H78" i="7"/>
  <c r="H84" i="7" s="1"/>
  <c r="G78" i="7"/>
  <c r="G84" i="7" s="1"/>
  <c r="F78" i="7"/>
  <c r="F84" i="7" s="1"/>
  <c r="E78" i="7"/>
  <c r="E84" i="7" s="1"/>
  <c r="D78" i="7"/>
  <c r="D84" i="7" s="1"/>
  <c r="C78" i="7"/>
  <c r="O77" i="7"/>
  <c r="O76" i="7"/>
  <c r="O75" i="7"/>
  <c r="O74" i="7"/>
  <c r="O82" i="7" s="1"/>
  <c r="O73" i="7"/>
  <c r="O66" i="7"/>
  <c r="N65" i="7"/>
  <c r="M65" i="7"/>
  <c r="L65" i="7"/>
  <c r="K65" i="7"/>
  <c r="J65" i="7"/>
  <c r="I65" i="7"/>
  <c r="H65" i="7"/>
  <c r="G65" i="7"/>
  <c r="F65" i="7"/>
  <c r="E65" i="7"/>
  <c r="D65" i="7"/>
  <c r="C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O62" i="7"/>
  <c r="O61" i="7"/>
  <c r="N58" i="7"/>
  <c r="M58" i="7"/>
  <c r="L58" i="7"/>
  <c r="K58" i="7"/>
  <c r="J58" i="7"/>
  <c r="I58" i="7"/>
  <c r="H58" i="7"/>
  <c r="G58" i="7"/>
  <c r="F58" i="7"/>
  <c r="E58" i="7"/>
  <c r="D58" i="7"/>
  <c r="C58" i="7"/>
  <c r="N57" i="7"/>
  <c r="M57" i="7"/>
  <c r="L57" i="7"/>
  <c r="K57" i="7"/>
  <c r="J57" i="7"/>
  <c r="I57" i="7"/>
  <c r="H57" i="7"/>
  <c r="G57" i="7"/>
  <c r="F57" i="7"/>
  <c r="E57" i="7"/>
  <c r="D57" i="7"/>
  <c r="C57" i="7"/>
  <c r="N56" i="7"/>
  <c r="M56" i="7"/>
  <c r="L56" i="7"/>
  <c r="K56" i="7"/>
  <c r="J56" i="7"/>
  <c r="I56" i="7"/>
  <c r="H56" i="7"/>
  <c r="G56" i="7"/>
  <c r="F56" i="7"/>
  <c r="E56" i="7"/>
  <c r="D56" i="7"/>
  <c r="C56" i="7"/>
  <c r="N55" i="7"/>
  <c r="M55" i="7"/>
  <c r="L55" i="7"/>
  <c r="K55" i="7"/>
  <c r="J55" i="7"/>
  <c r="I55" i="7"/>
  <c r="H55" i="7"/>
  <c r="G55" i="7"/>
  <c r="F55" i="7"/>
  <c r="E55" i="7"/>
  <c r="D55" i="7"/>
  <c r="C55" i="7"/>
  <c r="N54" i="7"/>
  <c r="N60" i="7" s="1"/>
  <c r="M54" i="7"/>
  <c r="M60" i="7" s="1"/>
  <c r="L54" i="7"/>
  <c r="L60" i="7" s="1"/>
  <c r="K54" i="7"/>
  <c r="K60" i="7" s="1"/>
  <c r="J54" i="7"/>
  <c r="J60" i="7" s="1"/>
  <c r="I54" i="7"/>
  <c r="I60" i="7" s="1"/>
  <c r="H54" i="7"/>
  <c r="H60" i="7" s="1"/>
  <c r="G54" i="7"/>
  <c r="G60" i="7" s="1"/>
  <c r="F54" i="7"/>
  <c r="F60" i="7" s="1"/>
  <c r="E54" i="7"/>
  <c r="E60" i="7" s="1"/>
  <c r="D54" i="7"/>
  <c r="D60" i="7" s="1"/>
  <c r="C54" i="7"/>
  <c r="O53" i="7"/>
  <c r="O52" i="7"/>
  <c r="O51" i="7"/>
  <c r="O50" i="7"/>
  <c r="O49" i="7"/>
  <c r="O38" i="7"/>
  <c r="N37" i="7"/>
  <c r="M37" i="7"/>
  <c r="L37" i="7"/>
  <c r="K37" i="7"/>
  <c r="J37" i="7"/>
  <c r="I37" i="7"/>
  <c r="H37" i="7"/>
  <c r="G37" i="7"/>
  <c r="F37" i="7"/>
  <c r="E37" i="7"/>
  <c r="D37" i="7"/>
  <c r="C37" i="7"/>
  <c r="N36" i="7"/>
  <c r="M36" i="7"/>
  <c r="L36" i="7"/>
  <c r="K36" i="7"/>
  <c r="J36" i="7"/>
  <c r="I36" i="7"/>
  <c r="H36" i="7"/>
  <c r="G36" i="7"/>
  <c r="F36" i="7"/>
  <c r="E36" i="7"/>
  <c r="D36" i="7"/>
  <c r="C36" i="7"/>
  <c r="N35" i="7"/>
  <c r="M35" i="7"/>
  <c r="L35" i="7"/>
  <c r="K35" i="7"/>
  <c r="J35" i="7"/>
  <c r="I35" i="7"/>
  <c r="H35" i="7"/>
  <c r="G35" i="7"/>
  <c r="F35" i="7"/>
  <c r="E35" i="7"/>
  <c r="D35" i="7"/>
  <c r="C35" i="7"/>
  <c r="N34" i="7"/>
  <c r="M34" i="7"/>
  <c r="L34" i="7"/>
  <c r="K34" i="7"/>
  <c r="J34" i="7"/>
  <c r="I34" i="7"/>
  <c r="H34" i="7"/>
  <c r="G34" i="7"/>
  <c r="F34" i="7"/>
  <c r="E34" i="7"/>
  <c r="D34" i="7"/>
  <c r="C34" i="7"/>
  <c r="N33" i="7"/>
  <c r="M33" i="7"/>
  <c r="L33" i="7"/>
  <c r="K33" i="7"/>
  <c r="J33" i="7"/>
  <c r="I33" i="7"/>
  <c r="H33" i="7"/>
  <c r="G33" i="7"/>
  <c r="F33" i="7"/>
  <c r="E33" i="7"/>
  <c r="D33" i="7"/>
  <c r="C33" i="7"/>
  <c r="N32" i="7"/>
  <c r="M32" i="7"/>
  <c r="L32" i="7"/>
  <c r="K32" i="7"/>
  <c r="J32" i="7"/>
  <c r="I32" i="7"/>
  <c r="H32" i="7"/>
  <c r="G32" i="7"/>
  <c r="F32" i="7"/>
  <c r="E32" i="7"/>
  <c r="D32" i="7"/>
  <c r="C32" i="7"/>
  <c r="N31" i="7"/>
  <c r="M31" i="7"/>
  <c r="L31" i="7"/>
  <c r="K31" i="7"/>
  <c r="J31" i="7"/>
  <c r="I31" i="7"/>
  <c r="H31" i="7"/>
  <c r="G31" i="7"/>
  <c r="F31" i="7"/>
  <c r="E31" i="7"/>
  <c r="D31" i="7"/>
  <c r="C31" i="7"/>
  <c r="N30" i="7"/>
  <c r="M30" i="7"/>
  <c r="L30" i="7"/>
  <c r="K30" i="7"/>
  <c r="J30" i="7"/>
  <c r="I30" i="7"/>
  <c r="H30" i="7"/>
  <c r="G30" i="7"/>
  <c r="F30" i="7"/>
  <c r="E30" i="7"/>
  <c r="D30" i="7"/>
  <c r="C30" i="7"/>
  <c r="N29" i="7"/>
  <c r="M29" i="7"/>
  <c r="L29" i="7"/>
  <c r="K29" i="7"/>
  <c r="J29" i="7"/>
  <c r="I29" i="7"/>
  <c r="H29" i="7"/>
  <c r="G29" i="7"/>
  <c r="F29" i="7"/>
  <c r="E29" i="7"/>
  <c r="D29" i="7"/>
  <c r="C29" i="7"/>
  <c r="N28" i="7"/>
  <c r="M28" i="7"/>
  <c r="L28" i="7"/>
  <c r="K28" i="7"/>
  <c r="J28" i="7"/>
  <c r="I28" i="7"/>
  <c r="H28" i="7"/>
  <c r="G28" i="7"/>
  <c r="F28" i="7"/>
  <c r="E28" i="7"/>
  <c r="D28" i="7"/>
  <c r="C28" i="7"/>
  <c r="N27" i="7"/>
  <c r="M27" i="7"/>
  <c r="L27" i="7"/>
  <c r="K27" i="7"/>
  <c r="J27" i="7"/>
  <c r="I27" i="7"/>
  <c r="H27" i="7"/>
  <c r="G27" i="7"/>
  <c r="F27" i="7"/>
  <c r="E27" i="7"/>
  <c r="D27" i="7"/>
  <c r="C27" i="7"/>
  <c r="N26" i="7"/>
  <c r="M26" i="7"/>
  <c r="L26" i="7"/>
  <c r="K26" i="7"/>
  <c r="J26" i="7"/>
  <c r="I26" i="7"/>
  <c r="H26" i="7"/>
  <c r="G26" i="7"/>
  <c r="F26" i="7"/>
  <c r="E26" i="7"/>
  <c r="D26" i="7"/>
  <c r="C26" i="7"/>
  <c r="N25" i="7"/>
  <c r="M25" i="7"/>
  <c r="L25" i="7"/>
  <c r="K25" i="7"/>
  <c r="J25" i="7"/>
  <c r="I25" i="7"/>
  <c r="H25" i="7"/>
  <c r="G25" i="7"/>
  <c r="F25" i="7"/>
  <c r="E25" i="7"/>
  <c r="D25" i="7"/>
  <c r="C25" i="7"/>
  <c r="M20" i="7"/>
  <c r="E20" i="7"/>
  <c r="D20" i="7"/>
  <c r="D19" i="7"/>
  <c r="L18" i="7"/>
  <c r="I18" i="7"/>
  <c r="H18" i="7"/>
  <c r="E18" i="7"/>
  <c r="D18" i="7"/>
  <c r="J10" i="7"/>
  <c r="J8" i="7"/>
  <c r="C8" i="7"/>
  <c r="N5" i="7"/>
  <c r="M5" i="7"/>
  <c r="L5" i="7"/>
  <c r="K5" i="7"/>
  <c r="J5" i="7"/>
  <c r="I5" i="7"/>
  <c r="H5" i="7"/>
  <c r="G5" i="7"/>
  <c r="F5" i="7"/>
  <c r="E5" i="7"/>
  <c r="D5" i="7"/>
  <c r="C5" i="7"/>
  <c r="G7" i="7" l="1"/>
  <c r="G22" i="7" s="1"/>
  <c r="F7" i="7"/>
  <c r="F22" i="7" s="1"/>
  <c r="L103" i="7"/>
  <c r="N7" i="7"/>
  <c r="N12" i="7" s="1"/>
  <c r="I100" i="7"/>
  <c r="I11" i="7" s="1"/>
  <c r="I17" i="7" s="1"/>
  <c r="J7" i="7"/>
  <c r="J12" i="7" s="1"/>
  <c r="H8" i="7"/>
  <c r="H14" i="7" s="1"/>
  <c r="O124" i="7"/>
  <c r="O125" i="7"/>
  <c r="O109" i="7"/>
  <c r="O110" i="7"/>
  <c r="O23" i="7" s="1"/>
  <c r="O207" i="7"/>
  <c r="O230" i="7"/>
  <c r="O251" i="7"/>
  <c r="O57" i="7"/>
  <c r="H100" i="7"/>
  <c r="H11" i="7" s="1"/>
  <c r="O174" i="7"/>
  <c r="D8" i="7"/>
  <c r="D14" i="7" s="1"/>
  <c r="G20" i="7"/>
  <c r="O20" i="7" s="1"/>
  <c r="L7" i="7"/>
  <c r="L24" i="7" s="1"/>
  <c r="M100" i="7"/>
  <c r="M11" i="7" s="1"/>
  <c r="M17" i="7" s="1"/>
  <c r="D7" i="7"/>
  <c r="D15" i="7" s="1"/>
  <c r="K7" i="7"/>
  <c r="K15" i="7" s="1"/>
  <c r="C23" i="7"/>
  <c r="C7" i="7"/>
  <c r="C15" i="7" s="1"/>
  <c r="H7" i="7"/>
  <c r="H21" i="7" s="1"/>
  <c r="L8" i="7"/>
  <c r="L14" i="7" s="1"/>
  <c r="O146" i="7"/>
  <c r="E103" i="7"/>
  <c r="M103" i="7"/>
  <c r="O145" i="7"/>
  <c r="O6" i="7"/>
  <c r="E11" i="7"/>
  <c r="E17" i="7" s="1"/>
  <c r="O78" i="7"/>
  <c r="O84" i="7" s="1"/>
  <c r="E7" i="7"/>
  <c r="E21" i="7" s="1"/>
  <c r="I7" i="7"/>
  <c r="I22" i="7" s="1"/>
  <c r="M7" i="7"/>
  <c r="M24" i="7" s="1"/>
  <c r="E9" i="7"/>
  <c r="M9" i="7"/>
  <c r="O55" i="7"/>
  <c r="O95" i="7"/>
  <c r="O97" i="7"/>
  <c r="C102" i="7"/>
  <c r="G102" i="7"/>
  <c r="K102" i="7"/>
  <c r="D100" i="7"/>
  <c r="L100" i="7"/>
  <c r="O150" i="7"/>
  <c r="O250" i="7"/>
  <c r="E106" i="7"/>
  <c r="I103" i="7"/>
  <c r="O206" i="7"/>
  <c r="F100" i="7"/>
  <c r="F11" i="7" s="1"/>
  <c r="F17" i="7" s="1"/>
  <c r="J100" i="7"/>
  <c r="J11" i="7" s="1"/>
  <c r="N100" i="7"/>
  <c r="N11" i="7" s="1"/>
  <c r="O234" i="7"/>
  <c r="N21" i="7"/>
  <c r="O25" i="7"/>
  <c r="O26" i="7"/>
  <c r="O28" i="7"/>
  <c r="O29" i="7"/>
  <c r="O32" i="7"/>
  <c r="O33" i="7"/>
  <c r="O34" i="7"/>
  <c r="O35" i="7"/>
  <c r="O36" i="7"/>
  <c r="O37" i="7"/>
  <c r="C84" i="7"/>
  <c r="F101" i="7"/>
  <c r="J101" i="7"/>
  <c r="N101" i="7"/>
  <c r="F102" i="7"/>
  <c r="J102" i="7"/>
  <c r="N102" i="7"/>
  <c r="J103" i="7"/>
  <c r="O169" i="7"/>
  <c r="G15" i="7"/>
  <c r="C103" i="7"/>
  <c r="G103" i="7"/>
  <c r="K103" i="7"/>
  <c r="O54" i="7"/>
  <c r="O60" i="7" s="1"/>
  <c r="O108" i="7"/>
  <c r="L15" i="7"/>
  <c r="E14" i="7"/>
  <c r="I14" i="7"/>
  <c r="M14" i="7"/>
  <c r="E102" i="7"/>
  <c r="I102" i="7"/>
  <c r="M102" i="7"/>
  <c r="O123" i="7"/>
  <c r="O167" i="7"/>
  <c r="N14" i="7"/>
  <c r="G12" i="7"/>
  <c r="G14" i="7"/>
  <c r="K14" i="7"/>
  <c r="F14" i="7"/>
  <c r="J14" i="7"/>
  <c r="C14" i="7"/>
  <c r="O27" i="7"/>
  <c r="O10" i="7"/>
  <c r="O19" i="7"/>
  <c r="O30" i="7"/>
  <c r="O31" i="7"/>
  <c r="O58" i="7"/>
  <c r="O65" i="7"/>
  <c r="O80" i="7"/>
  <c r="E101" i="7"/>
  <c r="I101" i="7"/>
  <c r="M101" i="7"/>
  <c r="D102" i="7"/>
  <c r="H102" i="7"/>
  <c r="L102" i="7"/>
  <c r="H101" i="7"/>
  <c r="F103" i="7"/>
  <c r="N103" i="7"/>
  <c r="O147" i="7"/>
  <c r="O228" i="7"/>
  <c r="O56" i="7"/>
  <c r="C60" i="7"/>
  <c r="C101" i="7"/>
  <c r="K101" i="7"/>
  <c r="D104" i="7"/>
  <c r="L104" i="7"/>
  <c r="O107" i="7"/>
  <c r="O229" i="7"/>
  <c r="N233" i="7"/>
  <c r="O249" i="7"/>
  <c r="O255" i="7" s="1"/>
  <c r="O98" i="7"/>
  <c r="H106" i="7"/>
  <c r="O18" i="7"/>
  <c r="C233" i="7"/>
  <c r="C100" i="7"/>
  <c r="G233" i="7"/>
  <c r="G100" i="7"/>
  <c r="K233" i="7"/>
  <c r="K100" i="7"/>
  <c r="O227" i="7"/>
  <c r="O233" i="7" s="1"/>
  <c r="J233" i="7"/>
  <c r="O64" i="7"/>
  <c r="O79" i="7"/>
  <c r="O99" i="7"/>
  <c r="G101" i="7"/>
  <c r="O122" i="7"/>
  <c r="O128" i="7" s="1"/>
  <c r="O170" i="7"/>
  <c r="O208" i="7"/>
  <c r="F233" i="7"/>
  <c r="O252" i="7"/>
  <c r="O81" i="7"/>
  <c r="O96" i="7"/>
  <c r="O104" i="7" s="1"/>
  <c r="O205" i="7"/>
  <c r="O211" i="7" s="1"/>
  <c r="J21" i="7" l="1"/>
  <c r="F21" i="7"/>
  <c r="G24" i="7"/>
  <c r="G13" i="7"/>
  <c r="H13" i="7"/>
  <c r="H12" i="7"/>
  <c r="F13" i="7"/>
  <c r="G21" i="7"/>
  <c r="D13" i="7"/>
  <c r="F24" i="7"/>
  <c r="F12" i="7"/>
  <c r="F15" i="7"/>
  <c r="N22" i="7"/>
  <c r="F106" i="7"/>
  <c r="I106" i="7"/>
  <c r="N13" i="7"/>
  <c r="C22" i="7"/>
  <c r="H24" i="7"/>
  <c r="N24" i="7"/>
  <c r="K21" i="7"/>
  <c r="L12" i="7"/>
  <c r="J22" i="7"/>
  <c r="J15" i="7"/>
  <c r="J16" i="7"/>
  <c r="L21" i="7"/>
  <c r="M15" i="7"/>
  <c r="L22" i="7"/>
  <c r="D12" i="7"/>
  <c r="D22" i="7"/>
  <c r="J13" i="7"/>
  <c r="M21" i="7"/>
  <c r="N15" i="7"/>
  <c r="I15" i="7"/>
  <c r="D21" i="7"/>
  <c r="I13" i="7"/>
  <c r="D24" i="7"/>
  <c r="L13" i="7"/>
  <c r="I12" i="7"/>
  <c r="J24" i="7"/>
  <c r="M12" i="7"/>
  <c r="K24" i="7"/>
  <c r="E15" i="7"/>
  <c r="H17" i="7"/>
  <c r="O8" i="7"/>
  <c r="O14" i="7" s="1"/>
  <c r="K13" i="7"/>
  <c r="K22" i="7"/>
  <c r="K12" i="7"/>
  <c r="C24" i="7"/>
  <c r="C13" i="7"/>
  <c r="C21" i="7"/>
  <c r="C12" i="7"/>
  <c r="J106" i="7"/>
  <c r="M106" i="7"/>
  <c r="M16" i="7"/>
  <c r="E24" i="7"/>
  <c r="O9" i="7"/>
  <c r="M13" i="7"/>
  <c r="H16" i="7"/>
  <c r="N106" i="7"/>
  <c r="H22" i="7"/>
  <c r="H15" i="7"/>
  <c r="I16" i="7"/>
  <c r="I21" i="7"/>
  <c r="I24" i="7"/>
  <c r="E12" i="7"/>
  <c r="N16" i="7"/>
  <c r="N17" i="7"/>
  <c r="E16" i="7"/>
  <c r="O7" i="7"/>
  <c r="O24" i="7" s="1"/>
  <c r="J17" i="7"/>
  <c r="E13" i="7"/>
  <c r="E22" i="7"/>
  <c r="L106" i="7"/>
  <c r="L11" i="7"/>
  <c r="D106" i="7"/>
  <c r="D11" i="7"/>
  <c r="M22" i="7"/>
  <c r="F16" i="7"/>
  <c r="O100" i="7"/>
  <c r="O106" i="7" s="1"/>
  <c r="C106" i="7"/>
  <c r="C11" i="7"/>
  <c r="O103" i="7"/>
  <c r="O101" i="7"/>
  <c r="G106" i="7"/>
  <c r="G11" i="7"/>
  <c r="O102" i="7"/>
  <c r="K106" i="7"/>
  <c r="K11" i="7"/>
  <c r="O13" i="7" l="1"/>
  <c r="O22" i="7"/>
  <c r="O15" i="7"/>
  <c r="O12" i="7"/>
  <c r="O21" i="7"/>
  <c r="D17" i="7"/>
  <c r="D16" i="7"/>
  <c r="L17" i="7"/>
  <c r="L16" i="7"/>
  <c r="C17" i="7"/>
  <c r="O11" i="7"/>
  <c r="C16" i="7"/>
  <c r="K17" i="7"/>
  <c r="K16" i="7"/>
  <c r="G17" i="7"/>
  <c r="G16" i="7"/>
  <c r="O17" i="7" l="1"/>
  <c r="O16" i="7"/>
  <c r="O260" i="6" l="1"/>
  <c r="O259" i="6"/>
  <c r="O258" i="6"/>
  <c r="N257" i="6"/>
  <c r="M257" i="6"/>
  <c r="L257" i="6"/>
  <c r="K257" i="6"/>
  <c r="J257" i="6"/>
  <c r="I257" i="6"/>
  <c r="M256" i="6"/>
  <c r="L256" i="6"/>
  <c r="K256" i="6"/>
  <c r="M255" i="6"/>
  <c r="L255" i="6"/>
  <c r="K255" i="6"/>
  <c r="H255" i="6"/>
  <c r="G255" i="6"/>
  <c r="F255" i="6"/>
  <c r="E255" i="6"/>
  <c r="D255" i="6"/>
  <c r="C255" i="6"/>
  <c r="N254" i="6"/>
  <c r="M254" i="6"/>
  <c r="L254" i="6"/>
  <c r="K254" i="6"/>
  <c r="J254" i="6"/>
  <c r="I254" i="6"/>
  <c r="H254" i="6"/>
  <c r="G254" i="6"/>
  <c r="F254" i="6"/>
  <c r="E254" i="6"/>
  <c r="D254" i="6"/>
  <c r="C254" i="6"/>
  <c r="M253" i="6"/>
  <c r="L253" i="6"/>
  <c r="K253" i="6"/>
  <c r="H253" i="6"/>
  <c r="G253" i="6"/>
  <c r="F253" i="6"/>
  <c r="E253" i="6"/>
  <c r="D253" i="6"/>
  <c r="C253" i="6"/>
  <c r="N252" i="6"/>
  <c r="M252" i="6"/>
  <c r="L252" i="6"/>
  <c r="K252" i="6"/>
  <c r="J252" i="6"/>
  <c r="I252" i="6"/>
  <c r="H252" i="6"/>
  <c r="G252" i="6"/>
  <c r="F252" i="6"/>
  <c r="E252" i="6"/>
  <c r="D252" i="6"/>
  <c r="C252" i="6"/>
  <c r="N251" i="6"/>
  <c r="M251" i="6"/>
  <c r="L251" i="6"/>
  <c r="K251" i="6"/>
  <c r="J251" i="6"/>
  <c r="I251" i="6"/>
  <c r="H251" i="6"/>
  <c r="G251" i="6"/>
  <c r="F251" i="6"/>
  <c r="E251" i="6"/>
  <c r="D251" i="6"/>
  <c r="C251" i="6"/>
  <c r="H250" i="6"/>
  <c r="H256" i="6" s="1"/>
  <c r="G250" i="6"/>
  <c r="G256" i="6" s="1"/>
  <c r="F250" i="6"/>
  <c r="F256" i="6" s="1"/>
  <c r="E250" i="6"/>
  <c r="E256" i="6" s="1"/>
  <c r="D250" i="6"/>
  <c r="C250" i="6"/>
  <c r="C256" i="6" s="1"/>
  <c r="O249" i="6"/>
  <c r="O248" i="6"/>
  <c r="N247" i="6"/>
  <c r="N253" i="6" s="1"/>
  <c r="J247" i="6"/>
  <c r="I247" i="6"/>
  <c r="I256" i="6" s="1"/>
  <c r="O246" i="6"/>
  <c r="O254" i="6" s="1"/>
  <c r="O245" i="6"/>
  <c r="O238" i="6"/>
  <c r="O237" i="6"/>
  <c r="O236" i="6"/>
  <c r="N235" i="6"/>
  <c r="M235" i="6"/>
  <c r="L235" i="6"/>
  <c r="K235" i="6"/>
  <c r="J235" i="6"/>
  <c r="M234" i="6"/>
  <c r="L234" i="6"/>
  <c r="K234" i="6"/>
  <c r="M233" i="6"/>
  <c r="L233" i="6"/>
  <c r="K233" i="6"/>
  <c r="H233" i="6"/>
  <c r="G233" i="6"/>
  <c r="F233" i="6"/>
  <c r="E233" i="6"/>
  <c r="D233" i="6"/>
  <c r="C233" i="6"/>
  <c r="N232" i="6"/>
  <c r="M232" i="6"/>
  <c r="L232" i="6"/>
  <c r="K232" i="6"/>
  <c r="J232" i="6"/>
  <c r="I232" i="6"/>
  <c r="H232" i="6"/>
  <c r="G232" i="6"/>
  <c r="F232" i="6"/>
  <c r="E232" i="6"/>
  <c r="D232" i="6"/>
  <c r="C232" i="6"/>
  <c r="M231" i="6"/>
  <c r="L231" i="6"/>
  <c r="K231" i="6"/>
  <c r="H231" i="6"/>
  <c r="G231" i="6"/>
  <c r="F231" i="6"/>
  <c r="E231" i="6"/>
  <c r="D231" i="6"/>
  <c r="C231" i="6"/>
  <c r="N230" i="6"/>
  <c r="M230" i="6"/>
  <c r="L230" i="6"/>
  <c r="K230" i="6"/>
  <c r="J230" i="6"/>
  <c r="I230" i="6"/>
  <c r="H230" i="6"/>
  <c r="G230" i="6"/>
  <c r="F230" i="6"/>
  <c r="E230" i="6"/>
  <c r="D230" i="6"/>
  <c r="C230" i="6"/>
  <c r="N229" i="6"/>
  <c r="M229" i="6"/>
  <c r="L229" i="6"/>
  <c r="K229" i="6"/>
  <c r="J229" i="6"/>
  <c r="I229" i="6"/>
  <c r="H229" i="6"/>
  <c r="G229" i="6"/>
  <c r="F229" i="6"/>
  <c r="E229" i="6"/>
  <c r="D229" i="6"/>
  <c r="C229" i="6"/>
  <c r="H228" i="6"/>
  <c r="G228" i="6"/>
  <c r="G234" i="6" s="1"/>
  <c r="F228" i="6"/>
  <c r="F234" i="6" s="1"/>
  <c r="E228" i="6"/>
  <c r="E234" i="6" s="1"/>
  <c r="D228" i="6"/>
  <c r="C228" i="6"/>
  <c r="C234" i="6" s="1"/>
  <c r="O227" i="6"/>
  <c r="O226" i="6"/>
  <c r="N225" i="6"/>
  <c r="N231" i="6" s="1"/>
  <c r="J225" i="6"/>
  <c r="J231" i="6" s="1"/>
  <c r="I225" i="6"/>
  <c r="I234" i="6" s="1"/>
  <c r="O224" i="6"/>
  <c r="O223" i="6"/>
  <c r="O216" i="6"/>
  <c r="O215" i="6"/>
  <c r="O214" i="6"/>
  <c r="N213" i="6"/>
  <c r="M213" i="6"/>
  <c r="L213" i="6"/>
  <c r="J213" i="6"/>
  <c r="M212" i="6"/>
  <c r="L212" i="6"/>
  <c r="K212" i="6"/>
  <c r="I212" i="6"/>
  <c r="M211" i="6"/>
  <c r="L211" i="6"/>
  <c r="K211" i="6"/>
  <c r="I211" i="6"/>
  <c r="N210" i="6"/>
  <c r="M210" i="6"/>
  <c r="L210" i="6"/>
  <c r="K210" i="6"/>
  <c r="J210" i="6"/>
  <c r="I210" i="6"/>
  <c r="H210" i="6"/>
  <c r="G210" i="6"/>
  <c r="F210" i="6"/>
  <c r="E210" i="6"/>
  <c r="D210" i="6"/>
  <c r="C210" i="6"/>
  <c r="M209" i="6"/>
  <c r="L209" i="6"/>
  <c r="K209" i="6"/>
  <c r="I209" i="6"/>
  <c r="H209" i="6"/>
  <c r="G209" i="6"/>
  <c r="F209" i="6"/>
  <c r="E209" i="6"/>
  <c r="D209" i="6"/>
  <c r="C209" i="6"/>
  <c r="N208" i="6"/>
  <c r="M208" i="6"/>
  <c r="L208" i="6"/>
  <c r="K208" i="6"/>
  <c r="J208" i="6"/>
  <c r="I208" i="6"/>
  <c r="H208" i="6"/>
  <c r="G208" i="6"/>
  <c r="F208" i="6"/>
  <c r="E208" i="6"/>
  <c r="D208" i="6"/>
  <c r="C208" i="6"/>
  <c r="N207" i="6"/>
  <c r="M207" i="6"/>
  <c r="L207" i="6"/>
  <c r="K207" i="6"/>
  <c r="J207" i="6"/>
  <c r="I207" i="6"/>
  <c r="H207" i="6"/>
  <c r="G207" i="6"/>
  <c r="F207" i="6"/>
  <c r="E207" i="6"/>
  <c r="D207" i="6"/>
  <c r="C207" i="6"/>
  <c r="H206" i="6"/>
  <c r="H212" i="6" s="1"/>
  <c r="G206" i="6"/>
  <c r="G212" i="6" s="1"/>
  <c r="F206" i="6"/>
  <c r="F212" i="6" s="1"/>
  <c r="E206" i="6"/>
  <c r="E212" i="6" s="1"/>
  <c r="D206" i="6"/>
  <c r="D212" i="6" s="1"/>
  <c r="C206" i="6"/>
  <c r="C212" i="6" s="1"/>
  <c r="O205" i="6"/>
  <c r="O204" i="6"/>
  <c r="N203" i="6"/>
  <c r="N211" i="6" s="1"/>
  <c r="J203" i="6"/>
  <c r="J211" i="6" s="1"/>
  <c r="O202" i="6"/>
  <c r="O201" i="6"/>
  <c r="O200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N175" i="6"/>
  <c r="M175" i="6"/>
  <c r="L175" i="6"/>
  <c r="K175" i="6"/>
  <c r="J175" i="6"/>
  <c r="M174" i="6"/>
  <c r="L174" i="6"/>
  <c r="K174" i="6"/>
  <c r="I174" i="6"/>
  <c r="H174" i="6"/>
  <c r="G174" i="6"/>
  <c r="F174" i="6"/>
  <c r="E174" i="6"/>
  <c r="D174" i="6"/>
  <c r="C174" i="6"/>
  <c r="M172" i="6"/>
  <c r="L172" i="6"/>
  <c r="K172" i="6"/>
  <c r="I172" i="6"/>
  <c r="H172" i="6"/>
  <c r="G172" i="6"/>
  <c r="F172" i="6"/>
  <c r="E172" i="6"/>
  <c r="D172" i="6"/>
  <c r="C172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M170" i="6"/>
  <c r="L170" i="6"/>
  <c r="K170" i="6"/>
  <c r="I170" i="6"/>
  <c r="H170" i="6"/>
  <c r="G170" i="6"/>
  <c r="F170" i="6"/>
  <c r="E170" i="6"/>
  <c r="D170" i="6"/>
  <c r="C170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O168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O165" i="6"/>
  <c r="O164" i="6"/>
  <c r="N163" i="6"/>
  <c r="N172" i="6" s="1"/>
  <c r="J163" i="6"/>
  <c r="O162" i="6"/>
  <c r="O161" i="6"/>
  <c r="O160" i="6"/>
  <c r="O154" i="6"/>
  <c r="O153" i="6"/>
  <c r="O152" i="6"/>
  <c r="N151" i="6"/>
  <c r="M151" i="6"/>
  <c r="L151" i="6"/>
  <c r="K151" i="6"/>
  <c r="J151" i="6"/>
  <c r="M150" i="6"/>
  <c r="L150" i="6"/>
  <c r="K150" i="6"/>
  <c r="I150" i="6"/>
  <c r="M149" i="6"/>
  <c r="L149" i="6"/>
  <c r="K149" i="6"/>
  <c r="I149" i="6"/>
  <c r="H149" i="6"/>
  <c r="G149" i="6"/>
  <c r="F149" i="6"/>
  <c r="E149" i="6"/>
  <c r="D149" i="6"/>
  <c r="C149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M147" i="6"/>
  <c r="L147" i="6"/>
  <c r="K147" i="6"/>
  <c r="I147" i="6"/>
  <c r="H147" i="6"/>
  <c r="G147" i="6"/>
  <c r="F147" i="6"/>
  <c r="E147" i="6"/>
  <c r="D147" i="6"/>
  <c r="C147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H144" i="6"/>
  <c r="H150" i="6" s="1"/>
  <c r="G144" i="6"/>
  <c r="G150" i="6" s="1"/>
  <c r="F144" i="6"/>
  <c r="F150" i="6" s="1"/>
  <c r="E144" i="6"/>
  <c r="E150" i="6" s="1"/>
  <c r="D144" i="6"/>
  <c r="D150" i="6" s="1"/>
  <c r="C144" i="6"/>
  <c r="C150" i="6" s="1"/>
  <c r="O143" i="6"/>
  <c r="O142" i="6"/>
  <c r="N141" i="6"/>
  <c r="N147" i="6" s="1"/>
  <c r="J141" i="6"/>
  <c r="J147" i="6" s="1"/>
  <c r="O140" i="6"/>
  <c r="O139" i="6"/>
  <c r="O138" i="6"/>
  <c r="O132" i="6"/>
  <c r="O131" i="6"/>
  <c r="O130" i="6"/>
  <c r="N129" i="6"/>
  <c r="M129" i="6"/>
  <c r="L129" i="6"/>
  <c r="K129" i="6"/>
  <c r="J129" i="6"/>
  <c r="M128" i="6"/>
  <c r="L128" i="6"/>
  <c r="K128" i="6"/>
  <c r="I128" i="6"/>
  <c r="M127" i="6"/>
  <c r="L127" i="6"/>
  <c r="K127" i="6"/>
  <c r="I127" i="6"/>
  <c r="H127" i="6"/>
  <c r="G127" i="6"/>
  <c r="F127" i="6"/>
  <c r="E127" i="6"/>
  <c r="D127" i="6"/>
  <c r="C127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M125" i="6"/>
  <c r="L125" i="6"/>
  <c r="K125" i="6"/>
  <c r="I125" i="6"/>
  <c r="H125" i="6"/>
  <c r="G125" i="6"/>
  <c r="F125" i="6"/>
  <c r="E125" i="6"/>
  <c r="D125" i="6"/>
  <c r="C125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H122" i="6"/>
  <c r="H128" i="6" s="1"/>
  <c r="G122" i="6"/>
  <c r="G128" i="6" s="1"/>
  <c r="F122" i="6"/>
  <c r="F128" i="6" s="1"/>
  <c r="E122" i="6"/>
  <c r="E128" i="6" s="1"/>
  <c r="D122" i="6"/>
  <c r="C122" i="6"/>
  <c r="C128" i="6" s="1"/>
  <c r="O121" i="6"/>
  <c r="O120" i="6"/>
  <c r="N119" i="6"/>
  <c r="N125" i="6" s="1"/>
  <c r="J119" i="6"/>
  <c r="J128" i="6" s="1"/>
  <c r="O118" i="6"/>
  <c r="L117" i="6"/>
  <c r="K117" i="6"/>
  <c r="O116" i="6"/>
  <c r="N110" i="6"/>
  <c r="N23" i="6" s="1"/>
  <c r="M110" i="6"/>
  <c r="L110" i="6"/>
  <c r="L23" i="6" s="1"/>
  <c r="K110" i="6"/>
  <c r="K23" i="6" s="1"/>
  <c r="J110" i="6"/>
  <c r="J23" i="6" s="1"/>
  <c r="H110" i="6"/>
  <c r="H23" i="6" s="1"/>
  <c r="G110" i="6"/>
  <c r="G23" i="6" s="1"/>
  <c r="F110" i="6"/>
  <c r="E110" i="6"/>
  <c r="E23" i="6" s="1"/>
  <c r="D110" i="6"/>
  <c r="C110" i="6"/>
  <c r="C23" i="6" s="1"/>
  <c r="N109" i="6"/>
  <c r="N20" i="6" s="1"/>
  <c r="M109" i="6"/>
  <c r="M20" i="6" s="1"/>
  <c r="L109" i="6"/>
  <c r="L20" i="6" s="1"/>
  <c r="K109" i="6"/>
  <c r="K20" i="6" s="1"/>
  <c r="J109" i="6"/>
  <c r="H109" i="6"/>
  <c r="H20" i="6" s="1"/>
  <c r="G109" i="6"/>
  <c r="F109" i="6"/>
  <c r="F20" i="6" s="1"/>
  <c r="E109" i="6"/>
  <c r="E20" i="6" s="1"/>
  <c r="D109" i="6"/>
  <c r="C109" i="6"/>
  <c r="C20" i="6" s="1"/>
  <c r="N108" i="6"/>
  <c r="M108" i="6"/>
  <c r="L108" i="6"/>
  <c r="L19" i="6" s="1"/>
  <c r="K108" i="6"/>
  <c r="K19" i="6" s="1"/>
  <c r="J108" i="6"/>
  <c r="J19" i="6" s="1"/>
  <c r="H108" i="6"/>
  <c r="H19" i="6" s="1"/>
  <c r="G108" i="6"/>
  <c r="G19" i="6" s="1"/>
  <c r="F108" i="6"/>
  <c r="F19" i="6" s="1"/>
  <c r="E108" i="6"/>
  <c r="E19" i="6" s="1"/>
  <c r="D108" i="6"/>
  <c r="C108" i="6"/>
  <c r="C19" i="6" s="1"/>
  <c r="N107" i="6"/>
  <c r="J107" i="6"/>
  <c r="H107" i="6"/>
  <c r="H18" i="6" s="1"/>
  <c r="G107" i="6"/>
  <c r="G18" i="6" s="1"/>
  <c r="F107" i="6"/>
  <c r="F18" i="6" s="1"/>
  <c r="D107" i="6"/>
  <c r="D18" i="6" s="1"/>
  <c r="C107" i="6"/>
  <c r="I104" i="6"/>
  <c r="I102" i="6"/>
  <c r="I101" i="6"/>
  <c r="N100" i="6"/>
  <c r="M100" i="6"/>
  <c r="M11" i="6" s="1"/>
  <c r="L100" i="6"/>
  <c r="L11" i="6" s="1"/>
  <c r="K100" i="6"/>
  <c r="K11" i="6" s="1"/>
  <c r="J100" i="6"/>
  <c r="J11" i="6" s="1"/>
  <c r="I100" i="6"/>
  <c r="I11" i="6" s="1"/>
  <c r="G100" i="6"/>
  <c r="N99" i="6"/>
  <c r="N10" i="6" s="1"/>
  <c r="M99" i="6"/>
  <c r="L99" i="6"/>
  <c r="L10" i="6" s="1"/>
  <c r="K99" i="6"/>
  <c r="J99" i="6"/>
  <c r="H99" i="6"/>
  <c r="H10" i="6" s="1"/>
  <c r="G99" i="6"/>
  <c r="G10" i="6" s="1"/>
  <c r="F99" i="6"/>
  <c r="E99" i="6"/>
  <c r="E10" i="6" s="1"/>
  <c r="D99" i="6"/>
  <c r="D10" i="6" s="1"/>
  <c r="C99" i="6"/>
  <c r="C10" i="6" s="1"/>
  <c r="N98" i="6"/>
  <c r="M98" i="6"/>
  <c r="M9" i="6" s="1"/>
  <c r="L98" i="6"/>
  <c r="K98" i="6"/>
  <c r="J98" i="6"/>
  <c r="J9" i="6" s="1"/>
  <c r="H98" i="6"/>
  <c r="H9" i="6" s="1"/>
  <c r="G98" i="6"/>
  <c r="G9" i="6" s="1"/>
  <c r="F98" i="6"/>
  <c r="F9" i="6" s="1"/>
  <c r="E98" i="6"/>
  <c r="D98" i="6"/>
  <c r="D9" i="6" s="1"/>
  <c r="C98" i="6"/>
  <c r="M97" i="6"/>
  <c r="M8" i="6" s="1"/>
  <c r="L97" i="6"/>
  <c r="L8" i="6" s="1"/>
  <c r="K97" i="6"/>
  <c r="K8" i="6" s="1"/>
  <c r="H97" i="6"/>
  <c r="H8" i="6" s="1"/>
  <c r="G97" i="6"/>
  <c r="G8" i="6" s="1"/>
  <c r="F97" i="6"/>
  <c r="F8" i="6" s="1"/>
  <c r="E97" i="6"/>
  <c r="E8" i="6" s="1"/>
  <c r="D97" i="6"/>
  <c r="D8" i="6" s="1"/>
  <c r="C97" i="6"/>
  <c r="C8" i="6" s="1"/>
  <c r="N96" i="6"/>
  <c r="M96" i="6"/>
  <c r="M7" i="6" s="1"/>
  <c r="L96" i="6"/>
  <c r="K96" i="6"/>
  <c r="K104" i="6" s="1"/>
  <c r="J96" i="6"/>
  <c r="J7" i="6" s="1"/>
  <c r="H96" i="6"/>
  <c r="H104" i="6" s="1"/>
  <c r="G96" i="6"/>
  <c r="G7" i="6" s="1"/>
  <c r="F96" i="6"/>
  <c r="F104" i="6" s="1"/>
  <c r="E96" i="6"/>
  <c r="E104" i="6" s="1"/>
  <c r="D96" i="6"/>
  <c r="D104" i="6" s="1"/>
  <c r="C96" i="6"/>
  <c r="C7" i="6" s="1"/>
  <c r="N95" i="6"/>
  <c r="N6" i="6" s="1"/>
  <c r="M95" i="6"/>
  <c r="M6" i="6" s="1"/>
  <c r="L95" i="6"/>
  <c r="K95" i="6"/>
  <c r="J95" i="6"/>
  <c r="J6" i="6" s="1"/>
  <c r="H95" i="6"/>
  <c r="G95" i="6"/>
  <c r="G6" i="6" s="1"/>
  <c r="F95" i="6"/>
  <c r="F6" i="6" s="1"/>
  <c r="E95" i="6"/>
  <c r="E6" i="6" s="1"/>
  <c r="D95" i="6"/>
  <c r="D6" i="6" s="1"/>
  <c r="C95" i="6"/>
  <c r="C6" i="6" s="1"/>
  <c r="O94" i="6"/>
  <c r="O88" i="6"/>
  <c r="O87" i="6"/>
  <c r="O86" i="6"/>
  <c r="N85" i="6"/>
  <c r="M85" i="6"/>
  <c r="L85" i="6"/>
  <c r="K85" i="6"/>
  <c r="J85" i="6"/>
  <c r="N84" i="6"/>
  <c r="M84" i="6"/>
  <c r="L84" i="6"/>
  <c r="K84" i="6"/>
  <c r="I84" i="6"/>
  <c r="H84" i="6"/>
  <c r="N83" i="6"/>
  <c r="M83" i="6"/>
  <c r="L83" i="6"/>
  <c r="K83" i="6"/>
  <c r="I83" i="6"/>
  <c r="H83" i="6"/>
  <c r="G83" i="6"/>
  <c r="F83" i="6"/>
  <c r="E83" i="6"/>
  <c r="D83" i="6"/>
  <c r="C83" i="6"/>
  <c r="N82" i="6"/>
  <c r="M82" i="6"/>
  <c r="L82" i="6"/>
  <c r="K82" i="6"/>
  <c r="J82" i="6"/>
  <c r="I82" i="6"/>
  <c r="H82" i="6"/>
  <c r="G82" i="6"/>
  <c r="F82" i="6"/>
  <c r="E82" i="6"/>
  <c r="D82" i="6"/>
  <c r="C82" i="6"/>
  <c r="N81" i="6"/>
  <c r="M81" i="6"/>
  <c r="L81" i="6"/>
  <c r="K81" i="6"/>
  <c r="I81" i="6"/>
  <c r="H81" i="6"/>
  <c r="G81" i="6"/>
  <c r="F81" i="6"/>
  <c r="E81" i="6"/>
  <c r="D81" i="6"/>
  <c r="C81" i="6"/>
  <c r="N80" i="6"/>
  <c r="M80" i="6"/>
  <c r="L80" i="6"/>
  <c r="K80" i="6"/>
  <c r="J80" i="6"/>
  <c r="I80" i="6"/>
  <c r="H80" i="6"/>
  <c r="G80" i="6"/>
  <c r="F80" i="6"/>
  <c r="E80" i="6"/>
  <c r="D80" i="6"/>
  <c r="C80" i="6"/>
  <c r="N79" i="6"/>
  <c r="M79" i="6"/>
  <c r="L79" i="6"/>
  <c r="K79" i="6"/>
  <c r="J79" i="6"/>
  <c r="I79" i="6"/>
  <c r="H79" i="6"/>
  <c r="G79" i="6"/>
  <c r="F79" i="6"/>
  <c r="E79" i="6"/>
  <c r="D79" i="6"/>
  <c r="C79" i="6"/>
  <c r="G78" i="6"/>
  <c r="G84" i="6" s="1"/>
  <c r="F78" i="6"/>
  <c r="F84" i="6" s="1"/>
  <c r="E78" i="6"/>
  <c r="E84" i="6" s="1"/>
  <c r="D78" i="6"/>
  <c r="D84" i="6" s="1"/>
  <c r="C78" i="6"/>
  <c r="O77" i="6"/>
  <c r="O76" i="6"/>
  <c r="J75" i="6"/>
  <c r="J84" i="6" s="1"/>
  <c r="O74" i="6"/>
  <c r="O73" i="6"/>
  <c r="O72" i="6"/>
  <c r="O66" i="6"/>
  <c r="N65" i="6"/>
  <c r="M65" i="6"/>
  <c r="L65" i="6"/>
  <c r="K65" i="6"/>
  <c r="J65" i="6"/>
  <c r="I65" i="6"/>
  <c r="H65" i="6"/>
  <c r="G65" i="6"/>
  <c r="F65" i="6"/>
  <c r="E65" i="6"/>
  <c r="D65" i="6"/>
  <c r="C65" i="6"/>
  <c r="I64" i="6"/>
  <c r="H64" i="6"/>
  <c r="G64" i="6"/>
  <c r="F64" i="6"/>
  <c r="E64" i="6"/>
  <c r="D64" i="6"/>
  <c r="C64" i="6"/>
  <c r="O63" i="6"/>
  <c r="O62" i="6"/>
  <c r="N61" i="6"/>
  <c r="N64" i="6" s="1"/>
  <c r="M61" i="6"/>
  <c r="M64" i="6" s="1"/>
  <c r="L61" i="6"/>
  <c r="L64" i="6" s="1"/>
  <c r="K61" i="6"/>
  <c r="K64" i="6" s="1"/>
  <c r="J61" i="6"/>
  <c r="M60" i="6"/>
  <c r="L60" i="6"/>
  <c r="K60" i="6"/>
  <c r="I60" i="6"/>
  <c r="H60" i="6"/>
  <c r="M59" i="6"/>
  <c r="L59" i="6"/>
  <c r="K59" i="6"/>
  <c r="I59" i="6"/>
  <c r="N58" i="6"/>
  <c r="M58" i="6"/>
  <c r="L58" i="6"/>
  <c r="K58" i="6"/>
  <c r="J58" i="6"/>
  <c r="I58" i="6"/>
  <c r="H58" i="6"/>
  <c r="G58" i="6"/>
  <c r="F58" i="6"/>
  <c r="E58" i="6"/>
  <c r="D58" i="6"/>
  <c r="C58" i="6"/>
  <c r="M57" i="6"/>
  <c r="L57" i="6"/>
  <c r="K57" i="6"/>
  <c r="I57" i="6"/>
  <c r="H57" i="6"/>
  <c r="G57" i="6"/>
  <c r="F57" i="6"/>
  <c r="E57" i="6"/>
  <c r="D57" i="6"/>
  <c r="C57" i="6"/>
  <c r="N56" i="6"/>
  <c r="M56" i="6"/>
  <c r="L56" i="6"/>
  <c r="K56" i="6"/>
  <c r="J56" i="6"/>
  <c r="I56" i="6"/>
  <c r="H56" i="6"/>
  <c r="G56" i="6"/>
  <c r="F56" i="6"/>
  <c r="E56" i="6"/>
  <c r="D56" i="6"/>
  <c r="C56" i="6"/>
  <c r="N55" i="6"/>
  <c r="M55" i="6"/>
  <c r="L55" i="6"/>
  <c r="K55" i="6"/>
  <c r="J55" i="6"/>
  <c r="I55" i="6"/>
  <c r="H55" i="6"/>
  <c r="G55" i="6"/>
  <c r="F55" i="6"/>
  <c r="E55" i="6"/>
  <c r="D55" i="6"/>
  <c r="C55" i="6"/>
  <c r="G54" i="6"/>
  <c r="G60" i="6" s="1"/>
  <c r="F54" i="6"/>
  <c r="F60" i="6" s="1"/>
  <c r="E54" i="6"/>
  <c r="E60" i="6" s="1"/>
  <c r="D54" i="6"/>
  <c r="D60" i="6" s="1"/>
  <c r="C54" i="6"/>
  <c r="C60" i="6" s="1"/>
  <c r="O53" i="6"/>
  <c r="O52" i="6"/>
  <c r="N51" i="6"/>
  <c r="J51" i="6"/>
  <c r="J59" i="6" s="1"/>
  <c r="O50" i="6"/>
  <c r="O49" i="6"/>
  <c r="O48" i="6"/>
  <c r="N38" i="6"/>
  <c r="M38" i="6"/>
  <c r="L38" i="6"/>
  <c r="K38" i="6"/>
  <c r="J38" i="6"/>
  <c r="I38" i="6"/>
  <c r="H38" i="6"/>
  <c r="G38" i="6"/>
  <c r="F38" i="6"/>
  <c r="E38" i="6"/>
  <c r="D38" i="6"/>
  <c r="C38" i="6"/>
  <c r="N37" i="6"/>
  <c r="M37" i="6"/>
  <c r="L37" i="6"/>
  <c r="K37" i="6"/>
  <c r="J37" i="6"/>
  <c r="I37" i="6"/>
  <c r="H37" i="6"/>
  <c r="G37" i="6"/>
  <c r="F37" i="6"/>
  <c r="E37" i="6"/>
  <c r="D37" i="6"/>
  <c r="C37" i="6"/>
  <c r="N36" i="6"/>
  <c r="M36" i="6"/>
  <c r="L36" i="6"/>
  <c r="K36" i="6"/>
  <c r="J36" i="6"/>
  <c r="I36" i="6"/>
  <c r="H36" i="6"/>
  <c r="G36" i="6"/>
  <c r="F36" i="6"/>
  <c r="E36" i="6"/>
  <c r="D36" i="6"/>
  <c r="C36" i="6"/>
  <c r="N35" i="6"/>
  <c r="M35" i="6"/>
  <c r="L35" i="6"/>
  <c r="K35" i="6"/>
  <c r="J35" i="6"/>
  <c r="I35" i="6"/>
  <c r="H35" i="6"/>
  <c r="G35" i="6"/>
  <c r="F35" i="6"/>
  <c r="E35" i="6"/>
  <c r="D35" i="6"/>
  <c r="C35" i="6"/>
  <c r="N34" i="6"/>
  <c r="M34" i="6"/>
  <c r="L34" i="6"/>
  <c r="K34" i="6"/>
  <c r="J34" i="6"/>
  <c r="I34" i="6"/>
  <c r="H34" i="6"/>
  <c r="G34" i="6"/>
  <c r="F34" i="6"/>
  <c r="E34" i="6"/>
  <c r="D34" i="6"/>
  <c r="C34" i="6"/>
  <c r="N33" i="6"/>
  <c r="M33" i="6"/>
  <c r="L33" i="6"/>
  <c r="K33" i="6"/>
  <c r="J33" i="6"/>
  <c r="I33" i="6"/>
  <c r="H33" i="6"/>
  <c r="G33" i="6"/>
  <c r="F33" i="6"/>
  <c r="E33" i="6"/>
  <c r="D33" i="6"/>
  <c r="C33" i="6"/>
  <c r="N32" i="6"/>
  <c r="M32" i="6"/>
  <c r="L32" i="6"/>
  <c r="K32" i="6"/>
  <c r="J32" i="6"/>
  <c r="I32" i="6"/>
  <c r="H32" i="6"/>
  <c r="G32" i="6"/>
  <c r="F32" i="6"/>
  <c r="E32" i="6"/>
  <c r="D32" i="6"/>
  <c r="C32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N29" i="6"/>
  <c r="M29" i="6"/>
  <c r="L29" i="6"/>
  <c r="K29" i="6"/>
  <c r="J29" i="6"/>
  <c r="I29" i="6"/>
  <c r="H29" i="6"/>
  <c r="G29" i="6"/>
  <c r="F29" i="6"/>
  <c r="E29" i="6"/>
  <c r="D29" i="6"/>
  <c r="C29" i="6"/>
  <c r="N28" i="6"/>
  <c r="M28" i="6"/>
  <c r="L28" i="6"/>
  <c r="K28" i="6"/>
  <c r="J28" i="6"/>
  <c r="I28" i="6"/>
  <c r="H28" i="6"/>
  <c r="G28" i="6"/>
  <c r="F28" i="6"/>
  <c r="E28" i="6"/>
  <c r="D28" i="6"/>
  <c r="C28" i="6"/>
  <c r="N27" i="6"/>
  <c r="M27" i="6"/>
  <c r="L27" i="6"/>
  <c r="K27" i="6"/>
  <c r="J27" i="6"/>
  <c r="I27" i="6"/>
  <c r="H27" i="6"/>
  <c r="G27" i="6"/>
  <c r="F27" i="6"/>
  <c r="E27" i="6"/>
  <c r="D27" i="6"/>
  <c r="C27" i="6"/>
  <c r="N26" i="6"/>
  <c r="M26" i="6"/>
  <c r="L26" i="6"/>
  <c r="K26" i="6"/>
  <c r="J26" i="6"/>
  <c r="I26" i="6"/>
  <c r="H26" i="6"/>
  <c r="G26" i="6"/>
  <c r="F26" i="6"/>
  <c r="E26" i="6"/>
  <c r="D26" i="6"/>
  <c r="C26" i="6"/>
  <c r="N25" i="6"/>
  <c r="M25" i="6"/>
  <c r="L25" i="6"/>
  <c r="K25" i="6"/>
  <c r="J25" i="6"/>
  <c r="I25" i="6"/>
  <c r="H25" i="6"/>
  <c r="G25" i="6"/>
  <c r="F25" i="6"/>
  <c r="E25" i="6"/>
  <c r="D25" i="6"/>
  <c r="C25" i="6"/>
  <c r="M23" i="6"/>
  <c r="I23" i="6"/>
  <c r="I24" i="6" s="1"/>
  <c r="F23" i="6"/>
  <c r="D23" i="6"/>
  <c r="J20" i="6"/>
  <c r="I20" i="6"/>
  <c r="G20" i="6"/>
  <c r="N19" i="6"/>
  <c r="M19" i="6"/>
  <c r="I19" i="6"/>
  <c r="I22" i="6" s="1"/>
  <c r="I18" i="6"/>
  <c r="I21" i="6" s="1"/>
  <c r="E18" i="6"/>
  <c r="I13" i="6"/>
  <c r="I12" i="6"/>
  <c r="J10" i="6"/>
  <c r="K9" i="6"/>
  <c r="H6" i="6"/>
  <c r="N5" i="6"/>
  <c r="M5" i="6"/>
  <c r="L5" i="6"/>
  <c r="K5" i="6"/>
  <c r="J5" i="6"/>
  <c r="I5" i="6"/>
  <c r="I15" i="6" s="1"/>
  <c r="H5" i="6"/>
  <c r="G5" i="6"/>
  <c r="F5" i="6"/>
  <c r="E5" i="6"/>
  <c r="D5" i="6"/>
  <c r="C5" i="6"/>
  <c r="E7" i="6" l="1"/>
  <c r="E24" i="6" s="1"/>
  <c r="L102" i="6"/>
  <c r="M107" i="6"/>
  <c r="M18" i="6" s="1"/>
  <c r="M21" i="6" s="1"/>
  <c r="K7" i="6"/>
  <c r="J102" i="6"/>
  <c r="N102" i="6"/>
  <c r="N97" i="6"/>
  <c r="N103" i="6" s="1"/>
  <c r="E100" i="6"/>
  <c r="E11" i="6" s="1"/>
  <c r="N7" i="6"/>
  <c r="N22" i="6" s="1"/>
  <c r="O79" i="6"/>
  <c r="L6" i="6"/>
  <c r="C103" i="6"/>
  <c r="O80" i="6"/>
  <c r="O252" i="6"/>
  <c r="J18" i="6"/>
  <c r="J21" i="6" s="1"/>
  <c r="L106" i="6"/>
  <c r="L103" i="6"/>
  <c r="O126" i="6"/>
  <c r="O51" i="6"/>
  <c r="O57" i="6" s="1"/>
  <c r="O5" i="6"/>
  <c r="H7" i="6"/>
  <c r="H21" i="6" s="1"/>
  <c r="C9" i="6"/>
  <c r="C14" i="6" s="1"/>
  <c r="O56" i="6"/>
  <c r="O117" i="6"/>
  <c r="O171" i="6"/>
  <c r="N170" i="6"/>
  <c r="O207" i="6"/>
  <c r="O123" i="6"/>
  <c r="M15" i="6"/>
  <c r="O148" i="6"/>
  <c r="J212" i="6"/>
  <c r="I233" i="6"/>
  <c r="M102" i="6"/>
  <c r="D102" i="6"/>
  <c r="L9" i="6"/>
  <c r="L14" i="6" s="1"/>
  <c r="M17" i="6"/>
  <c r="E103" i="6"/>
  <c r="F102" i="6"/>
  <c r="K102" i="6"/>
  <c r="C100" i="6"/>
  <c r="C11" i="6" s="1"/>
  <c r="C16" i="6" s="1"/>
  <c r="G103" i="6"/>
  <c r="M104" i="6"/>
  <c r="F7" i="6"/>
  <c r="F24" i="6" s="1"/>
  <c r="M10" i="6"/>
  <c r="K17" i="6"/>
  <c r="O82" i="6"/>
  <c r="N18" i="6"/>
  <c r="N21" i="6" s="1"/>
  <c r="K6" i="6"/>
  <c r="G21" i="6"/>
  <c r="O145" i="6"/>
  <c r="O230" i="6"/>
  <c r="O251" i="6"/>
  <c r="G14" i="6"/>
  <c r="H102" i="6"/>
  <c r="D7" i="6"/>
  <c r="D24" i="6" s="1"/>
  <c r="K14" i="6"/>
  <c r="O65" i="6"/>
  <c r="F105" i="6"/>
  <c r="N127" i="6"/>
  <c r="O109" i="6"/>
  <c r="O20" i="6" s="1"/>
  <c r="O124" i="6"/>
  <c r="C15" i="6"/>
  <c r="K16" i="6"/>
  <c r="O169" i="6"/>
  <c r="N212" i="6"/>
  <c r="E105" i="6"/>
  <c r="J22" i="6"/>
  <c r="G13" i="6"/>
  <c r="G11" i="6"/>
  <c r="G17" i="6" s="1"/>
  <c r="L17" i="6"/>
  <c r="G12" i="6"/>
  <c r="K22" i="6"/>
  <c r="M24" i="6"/>
  <c r="O58" i="6"/>
  <c r="O55" i="6"/>
  <c r="O95" i="6"/>
  <c r="I97" i="6"/>
  <c r="I106" i="6" s="1"/>
  <c r="K101" i="6"/>
  <c r="E106" i="6"/>
  <c r="E101" i="6"/>
  <c r="J104" i="6"/>
  <c r="O108" i="6"/>
  <c r="O19" i="6" s="1"/>
  <c r="N128" i="6"/>
  <c r="O146" i="6"/>
  <c r="N174" i="6"/>
  <c r="O203" i="6"/>
  <c r="O211" i="6" s="1"/>
  <c r="O213" i="6"/>
  <c r="I231" i="6"/>
  <c r="N256" i="6"/>
  <c r="L107" i="6"/>
  <c r="L18" i="6" s="1"/>
  <c r="H14" i="6"/>
  <c r="M105" i="6"/>
  <c r="O129" i="6"/>
  <c r="O151" i="6"/>
  <c r="O175" i="6"/>
  <c r="O210" i="6"/>
  <c r="O225" i="6"/>
  <c r="O231" i="6" s="1"/>
  <c r="K107" i="6"/>
  <c r="K18" i="6" s="1"/>
  <c r="K21" i="6" s="1"/>
  <c r="I253" i="6"/>
  <c r="D14" i="6"/>
  <c r="M13" i="6"/>
  <c r="L7" i="6"/>
  <c r="L24" i="6" s="1"/>
  <c r="E9" i="6"/>
  <c r="E13" i="6" s="1"/>
  <c r="N9" i="6"/>
  <c r="F10" i="6"/>
  <c r="K10" i="6"/>
  <c r="N11" i="6"/>
  <c r="K12" i="6"/>
  <c r="M22" i="6"/>
  <c r="D20" i="6"/>
  <c r="O23" i="6"/>
  <c r="G24" i="6"/>
  <c r="K24" i="6"/>
  <c r="O25" i="6"/>
  <c r="O26" i="6"/>
  <c r="O27" i="6"/>
  <c r="O28" i="6"/>
  <c r="O29" i="6"/>
  <c r="O31" i="6"/>
  <c r="O32" i="6"/>
  <c r="O33" i="6"/>
  <c r="O35" i="6"/>
  <c r="O36" i="6"/>
  <c r="O37" i="6"/>
  <c r="J60" i="6"/>
  <c r="D105" i="6"/>
  <c r="H105" i="6"/>
  <c r="M103" i="6"/>
  <c r="E102" i="6"/>
  <c r="M106" i="6"/>
  <c r="M101" i="6"/>
  <c r="N104" i="6"/>
  <c r="O110" i="6"/>
  <c r="O141" i="6"/>
  <c r="O149" i="6" s="1"/>
  <c r="O167" i="6"/>
  <c r="O208" i="6"/>
  <c r="N255" i="6"/>
  <c r="O257" i="6"/>
  <c r="J13" i="6"/>
  <c r="M14" i="6"/>
  <c r="G22" i="6"/>
  <c r="E22" i="6"/>
  <c r="K106" i="6"/>
  <c r="K105" i="6"/>
  <c r="K13" i="6"/>
  <c r="F14" i="6"/>
  <c r="E15" i="6"/>
  <c r="D19" i="6"/>
  <c r="F22" i="6"/>
  <c r="C24" i="6"/>
  <c r="N24" i="6"/>
  <c r="O38" i="6"/>
  <c r="N59" i="6"/>
  <c r="N57" i="6"/>
  <c r="J64" i="6"/>
  <c r="O61" i="6"/>
  <c r="O78" i="6"/>
  <c r="C84" i="6"/>
  <c r="C105" i="6"/>
  <c r="G106" i="6"/>
  <c r="G105" i="6"/>
  <c r="O122" i="6"/>
  <c r="J170" i="6"/>
  <c r="J174" i="6"/>
  <c r="O163" i="6"/>
  <c r="O174" i="6" s="1"/>
  <c r="J172" i="6"/>
  <c r="O229" i="6"/>
  <c r="O232" i="6"/>
  <c r="D234" i="6"/>
  <c r="D100" i="6"/>
  <c r="H234" i="6"/>
  <c r="H100" i="6"/>
  <c r="O235" i="6"/>
  <c r="J256" i="6"/>
  <c r="J255" i="6"/>
  <c r="J97" i="6"/>
  <c r="J253" i="6"/>
  <c r="M12" i="6"/>
  <c r="E21" i="6"/>
  <c r="J24" i="6"/>
  <c r="O34" i="6"/>
  <c r="O54" i="6"/>
  <c r="J83" i="6"/>
  <c r="O75" i="6"/>
  <c r="O83" i="6" s="1"/>
  <c r="J81" i="6"/>
  <c r="O85" i="6"/>
  <c r="C102" i="6"/>
  <c r="O96" i="6"/>
  <c r="O104" i="6" s="1"/>
  <c r="C101" i="6"/>
  <c r="C104" i="6"/>
  <c r="G102" i="6"/>
  <c r="G101" i="6"/>
  <c r="G104" i="6"/>
  <c r="L105" i="6"/>
  <c r="L101" i="6"/>
  <c r="L104" i="6"/>
  <c r="O250" i="6"/>
  <c r="J15" i="6"/>
  <c r="M16" i="6"/>
  <c r="J12" i="6"/>
  <c r="G15" i="6"/>
  <c r="K15" i="6"/>
  <c r="O30" i="6"/>
  <c r="N60" i="6"/>
  <c r="F100" i="6"/>
  <c r="C18" i="6"/>
  <c r="C21" i="6" s="1"/>
  <c r="C22" i="6"/>
  <c r="F103" i="6"/>
  <c r="F101" i="6"/>
  <c r="O98" i="6"/>
  <c r="O99" i="6"/>
  <c r="K103" i="6"/>
  <c r="J127" i="6"/>
  <c r="O119" i="6"/>
  <c r="O127" i="6" s="1"/>
  <c r="J125" i="6"/>
  <c r="J57" i="6"/>
  <c r="J101" i="6"/>
  <c r="N101" i="6"/>
  <c r="D103" i="6"/>
  <c r="H103" i="6"/>
  <c r="O144" i="6"/>
  <c r="J149" i="6"/>
  <c r="N149" i="6"/>
  <c r="O206" i="6"/>
  <c r="O228" i="6"/>
  <c r="J233" i="6"/>
  <c r="N233" i="6"/>
  <c r="J234" i="6"/>
  <c r="N234" i="6"/>
  <c r="D256" i="6"/>
  <c r="D128" i="6"/>
  <c r="J150" i="6"/>
  <c r="N150" i="6"/>
  <c r="O247" i="6"/>
  <c r="O253" i="6" s="1"/>
  <c r="I255" i="6"/>
  <c r="D101" i="6"/>
  <c r="H101" i="6"/>
  <c r="J209" i="6"/>
  <c r="N209" i="6"/>
  <c r="N15" i="6" l="1"/>
  <c r="N13" i="6"/>
  <c r="D22" i="6"/>
  <c r="D12" i="6"/>
  <c r="N8" i="6"/>
  <c r="N17" i="6" s="1"/>
  <c r="D13" i="6"/>
  <c r="D21" i="6"/>
  <c r="E16" i="6"/>
  <c r="E17" i="6"/>
  <c r="O60" i="6"/>
  <c r="N105" i="6"/>
  <c r="O6" i="6"/>
  <c r="N106" i="6"/>
  <c r="H22" i="6"/>
  <c r="H13" i="6"/>
  <c r="C13" i="6"/>
  <c r="E14" i="6"/>
  <c r="E12" i="6"/>
  <c r="O147" i="6"/>
  <c r="G16" i="6"/>
  <c r="F15" i="6"/>
  <c r="O59" i="6"/>
  <c r="C12" i="6"/>
  <c r="D15" i="6"/>
  <c r="O212" i="6"/>
  <c r="O150" i="6"/>
  <c r="O209" i="6"/>
  <c r="F13" i="6"/>
  <c r="F12" i="6"/>
  <c r="O102" i="6"/>
  <c r="H12" i="6"/>
  <c r="H24" i="6"/>
  <c r="N16" i="6"/>
  <c r="H15" i="6"/>
  <c r="O10" i="6"/>
  <c r="O125" i="6"/>
  <c r="C106" i="6"/>
  <c r="C17" i="6"/>
  <c r="O234" i="6"/>
  <c r="O107" i="6"/>
  <c r="O18" i="6" s="1"/>
  <c r="O9" i="6"/>
  <c r="L21" i="6"/>
  <c r="F21" i="6"/>
  <c r="O7" i="6"/>
  <c r="O15" i="6" s="1"/>
  <c r="N12" i="6"/>
  <c r="L13" i="6"/>
  <c r="O128" i="6"/>
  <c r="L12" i="6"/>
  <c r="L16" i="6"/>
  <c r="L22" i="6"/>
  <c r="I103" i="6"/>
  <c r="I105" i="6"/>
  <c r="I8" i="6"/>
  <c r="L15" i="6"/>
  <c r="J105" i="6"/>
  <c r="O97" i="6"/>
  <c r="O105" i="6" s="1"/>
  <c r="J8" i="6"/>
  <c r="H11" i="6"/>
  <c r="H106" i="6"/>
  <c r="O64" i="6"/>
  <c r="F106" i="6"/>
  <c r="F11" i="6"/>
  <c r="J106" i="6"/>
  <c r="O100" i="6"/>
  <c r="O101" i="6"/>
  <c r="J103" i="6"/>
  <c r="O256" i="6"/>
  <c r="D106" i="6"/>
  <c r="D11" i="6"/>
  <c r="O81" i="6"/>
  <c r="O84" i="6"/>
  <c r="O172" i="6"/>
  <c r="O170" i="6"/>
  <c r="N14" i="6" l="1"/>
  <c r="O13" i="6"/>
  <c r="O24" i="6"/>
  <c r="O21" i="6"/>
  <c r="O22" i="6"/>
  <c r="I17" i="6"/>
  <c r="I14" i="6"/>
  <c r="I16" i="6"/>
  <c r="O106" i="6"/>
  <c r="O103" i="6"/>
  <c r="O12" i="6"/>
  <c r="H17" i="6"/>
  <c r="H16" i="6"/>
  <c r="D17" i="6"/>
  <c r="O11" i="6"/>
  <c r="D16" i="6"/>
  <c r="J17" i="6"/>
  <c r="J16" i="6"/>
  <c r="J14" i="6"/>
  <c r="O8" i="6"/>
  <c r="F17" i="6"/>
  <c r="F16" i="6"/>
  <c r="O16" i="6" l="1"/>
  <c r="O14" i="6"/>
  <c r="O17" i="6"/>
  <c r="O260" i="5" l="1"/>
  <c r="O259" i="5"/>
  <c r="O258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G250" i="5"/>
  <c r="O250" i="5" s="1"/>
  <c r="O249" i="5"/>
  <c r="O248" i="5"/>
  <c r="N247" i="5"/>
  <c r="N256" i="5" s="1"/>
  <c r="M247" i="5"/>
  <c r="M255" i="5" s="1"/>
  <c r="L247" i="5"/>
  <c r="K247" i="5"/>
  <c r="K253" i="5" s="1"/>
  <c r="J247" i="5"/>
  <c r="J256" i="5" s="1"/>
  <c r="I247" i="5"/>
  <c r="I256" i="5" s="1"/>
  <c r="H247" i="5"/>
  <c r="G247" i="5"/>
  <c r="G253" i="5" s="1"/>
  <c r="F247" i="5"/>
  <c r="F256" i="5" s="1"/>
  <c r="E247" i="5"/>
  <c r="E255" i="5" s="1"/>
  <c r="D247" i="5"/>
  <c r="C247" i="5"/>
  <c r="C256" i="5" s="1"/>
  <c r="O246" i="5"/>
  <c r="O254" i="5" s="1"/>
  <c r="O245" i="5"/>
  <c r="O238" i="5"/>
  <c r="O237" i="5"/>
  <c r="O236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D234" i="5"/>
  <c r="D233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D231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O228" i="5"/>
  <c r="O227" i="5"/>
  <c r="O226" i="5"/>
  <c r="N225" i="5"/>
  <c r="N234" i="5" s="1"/>
  <c r="M225" i="5"/>
  <c r="M231" i="5" s="1"/>
  <c r="L225" i="5"/>
  <c r="L233" i="5" s="1"/>
  <c r="K225" i="5"/>
  <c r="K234" i="5" s="1"/>
  <c r="J225" i="5"/>
  <c r="J234" i="5" s="1"/>
  <c r="I225" i="5"/>
  <c r="I231" i="5" s="1"/>
  <c r="H225" i="5"/>
  <c r="H234" i="5" s="1"/>
  <c r="G225" i="5"/>
  <c r="G234" i="5" s="1"/>
  <c r="F225" i="5"/>
  <c r="F231" i="5" s="1"/>
  <c r="E225" i="5"/>
  <c r="E231" i="5" s="1"/>
  <c r="C225" i="5"/>
  <c r="O224" i="5"/>
  <c r="O223" i="5"/>
  <c r="O216" i="5"/>
  <c r="O215" i="5"/>
  <c r="O214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O206" i="5"/>
  <c r="O205" i="5"/>
  <c r="O204" i="5"/>
  <c r="N203" i="5"/>
  <c r="M203" i="5"/>
  <c r="M209" i="5" s="1"/>
  <c r="L203" i="5"/>
  <c r="L212" i="5" s="1"/>
  <c r="K203" i="5"/>
  <c r="K211" i="5" s="1"/>
  <c r="J203" i="5"/>
  <c r="J211" i="5" s="1"/>
  <c r="I203" i="5"/>
  <c r="I211" i="5" s="1"/>
  <c r="H203" i="5"/>
  <c r="H212" i="5" s="1"/>
  <c r="G203" i="5"/>
  <c r="G209" i="5" s="1"/>
  <c r="F203" i="5"/>
  <c r="E203" i="5"/>
  <c r="E212" i="5" s="1"/>
  <c r="D203" i="5"/>
  <c r="C203" i="5"/>
  <c r="C209" i="5" s="1"/>
  <c r="O202" i="5"/>
  <c r="O201" i="5"/>
  <c r="O200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D174" i="5"/>
  <c r="D172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D170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O168" i="5"/>
  <c r="O165" i="5"/>
  <c r="O164" i="5"/>
  <c r="N163" i="5"/>
  <c r="N172" i="5" s="1"/>
  <c r="M163" i="5"/>
  <c r="M172" i="5" s="1"/>
  <c r="L163" i="5"/>
  <c r="L170" i="5" s="1"/>
  <c r="K163" i="5"/>
  <c r="J163" i="5"/>
  <c r="J172" i="5" s="1"/>
  <c r="I163" i="5"/>
  <c r="H163" i="5"/>
  <c r="H170" i="5" s="1"/>
  <c r="G163" i="5"/>
  <c r="F163" i="5"/>
  <c r="F172" i="5" s="1"/>
  <c r="E163" i="5"/>
  <c r="E172" i="5" s="1"/>
  <c r="C163" i="5"/>
  <c r="C170" i="5" s="1"/>
  <c r="O162" i="5"/>
  <c r="O161" i="5"/>
  <c r="O160" i="5"/>
  <c r="O154" i="5"/>
  <c r="O153" i="5"/>
  <c r="O152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O144" i="5"/>
  <c r="O143" i="5"/>
  <c r="O142" i="5"/>
  <c r="N141" i="5"/>
  <c r="N149" i="5" s="1"/>
  <c r="M141" i="5"/>
  <c r="L141" i="5"/>
  <c r="L147" i="5" s="1"/>
  <c r="K141" i="5"/>
  <c r="K147" i="5" s="1"/>
  <c r="J141" i="5"/>
  <c r="J149" i="5" s="1"/>
  <c r="I141" i="5"/>
  <c r="H141" i="5"/>
  <c r="H147" i="5" s="1"/>
  <c r="G141" i="5"/>
  <c r="F141" i="5"/>
  <c r="F149" i="5" s="1"/>
  <c r="E141" i="5"/>
  <c r="D141" i="5"/>
  <c r="D147" i="5" s="1"/>
  <c r="C141" i="5"/>
  <c r="O140" i="5"/>
  <c r="O139" i="5"/>
  <c r="O138" i="5"/>
  <c r="O132" i="5"/>
  <c r="O131" i="5"/>
  <c r="O130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O122" i="5"/>
  <c r="O121" i="5"/>
  <c r="O120" i="5"/>
  <c r="N119" i="5"/>
  <c r="M119" i="5"/>
  <c r="M125" i="5" s="1"/>
  <c r="L119" i="5"/>
  <c r="L127" i="5" s="1"/>
  <c r="K119" i="5"/>
  <c r="K127" i="5" s="1"/>
  <c r="J119" i="5"/>
  <c r="I119" i="5"/>
  <c r="I125" i="5" s="1"/>
  <c r="H119" i="5"/>
  <c r="G119" i="5"/>
  <c r="G127" i="5" s="1"/>
  <c r="F119" i="5"/>
  <c r="F127" i="5" s="1"/>
  <c r="E119" i="5"/>
  <c r="E125" i="5" s="1"/>
  <c r="D119" i="5"/>
  <c r="D127" i="5" s="1"/>
  <c r="C119" i="5"/>
  <c r="C127" i="5" s="1"/>
  <c r="O118" i="5"/>
  <c r="O117" i="5"/>
  <c r="O116" i="5"/>
  <c r="N110" i="5"/>
  <c r="N23" i="5" s="1"/>
  <c r="M110" i="5"/>
  <c r="M23" i="5" s="1"/>
  <c r="L110" i="5"/>
  <c r="L23" i="5" s="1"/>
  <c r="K110" i="5"/>
  <c r="K23" i="5" s="1"/>
  <c r="J110" i="5"/>
  <c r="J23" i="5" s="1"/>
  <c r="H110" i="5"/>
  <c r="G110" i="5"/>
  <c r="G23" i="5" s="1"/>
  <c r="F110" i="5"/>
  <c r="F23" i="5" s="1"/>
  <c r="E110" i="5"/>
  <c r="E23" i="5" s="1"/>
  <c r="D110" i="5"/>
  <c r="C110" i="5"/>
  <c r="C23" i="5" s="1"/>
  <c r="N109" i="5"/>
  <c r="N20" i="5" s="1"/>
  <c r="M109" i="5"/>
  <c r="M20" i="5" s="1"/>
  <c r="L109" i="5"/>
  <c r="L20" i="5" s="1"/>
  <c r="K109" i="5"/>
  <c r="K20" i="5" s="1"/>
  <c r="J109" i="5"/>
  <c r="J20" i="5" s="1"/>
  <c r="I109" i="5"/>
  <c r="I20" i="5" s="1"/>
  <c r="H109" i="5"/>
  <c r="H20" i="5" s="1"/>
  <c r="G109" i="5"/>
  <c r="G20" i="5" s="1"/>
  <c r="F109" i="5"/>
  <c r="E109" i="5"/>
  <c r="E20" i="5" s="1"/>
  <c r="D109" i="5"/>
  <c r="D20" i="5" s="1"/>
  <c r="C109" i="5"/>
  <c r="C20" i="5" s="1"/>
  <c r="N108" i="5"/>
  <c r="N19" i="5" s="1"/>
  <c r="M108" i="5"/>
  <c r="M19" i="5" s="1"/>
  <c r="L108" i="5"/>
  <c r="L19" i="5" s="1"/>
  <c r="K108" i="5"/>
  <c r="K19" i="5" s="1"/>
  <c r="J108" i="5"/>
  <c r="J19" i="5" s="1"/>
  <c r="I108" i="5"/>
  <c r="I19" i="5" s="1"/>
  <c r="H108" i="5"/>
  <c r="H19" i="5" s="1"/>
  <c r="G108" i="5"/>
  <c r="G19" i="5" s="1"/>
  <c r="F108" i="5"/>
  <c r="F19" i="5" s="1"/>
  <c r="E108" i="5"/>
  <c r="E19" i="5" s="1"/>
  <c r="D108" i="5"/>
  <c r="C108" i="5"/>
  <c r="C19" i="5" s="1"/>
  <c r="L107" i="5"/>
  <c r="H107" i="5"/>
  <c r="N100" i="5"/>
  <c r="M100" i="5"/>
  <c r="M11" i="5" s="1"/>
  <c r="L100" i="5"/>
  <c r="L11" i="5" s="1"/>
  <c r="K100" i="5"/>
  <c r="K11" i="5" s="1"/>
  <c r="J100" i="5"/>
  <c r="J11" i="5" s="1"/>
  <c r="I100" i="5"/>
  <c r="H100" i="5"/>
  <c r="H11" i="5" s="1"/>
  <c r="F100" i="5"/>
  <c r="F11" i="5" s="1"/>
  <c r="E100" i="5"/>
  <c r="E11" i="5" s="1"/>
  <c r="D100" i="5"/>
  <c r="D11" i="5" s="1"/>
  <c r="C100" i="5"/>
  <c r="C11" i="5" s="1"/>
  <c r="N99" i="5"/>
  <c r="M99" i="5"/>
  <c r="M10" i="5" s="1"/>
  <c r="L99" i="5"/>
  <c r="L10" i="5" s="1"/>
  <c r="K99" i="5"/>
  <c r="K10" i="5" s="1"/>
  <c r="J99" i="5"/>
  <c r="I99" i="5"/>
  <c r="I10" i="5" s="1"/>
  <c r="H99" i="5"/>
  <c r="H10" i="5" s="1"/>
  <c r="G99" i="5"/>
  <c r="F99" i="5"/>
  <c r="F10" i="5" s="1"/>
  <c r="E99" i="5"/>
  <c r="E10" i="5" s="1"/>
  <c r="D99" i="5"/>
  <c r="D10" i="5" s="1"/>
  <c r="C99" i="5"/>
  <c r="C10" i="5" s="1"/>
  <c r="N98" i="5"/>
  <c r="N9" i="5" s="1"/>
  <c r="M98" i="5"/>
  <c r="M9" i="5" s="1"/>
  <c r="L98" i="5"/>
  <c r="L9" i="5" s="1"/>
  <c r="K98" i="5"/>
  <c r="K9" i="5" s="1"/>
  <c r="J98" i="5"/>
  <c r="I98" i="5"/>
  <c r="I9" i="5" s="1"/>
  <c r="H98" i="5"/>
  <c r="H9" i="5" s="1"/>
  <c r="G98" i="5"/>
  <c r="G9" i="5" s="1"/>
  <c r="F98" i="5"/>
  <c r="F9" i="5" s="1"/>
  <c r="E98" i="5"/>
  <c r="E9" i="5" s="1"/>
  <c r="D98" i="5"/>
  <c r="D9" i="5" s="1"/>
  <c r="C98" i="5"/>
  <c r="C9" i="5" s="1"/>
  <c r="N97" i="5"/>
  <c r="F97" i="5"/>
  <c r="D97" i="5"/>
  <c r="N96" i="5"/>
  <c r="N104" i="5" s="1"/>
  <c r="M96" i="5"/>
  <c r="M104" i="5" s="1"/>
  <c r="L96" i="5"/>
  <c r="L7" i="5" s="1"/>
  <c r="K96" i="5"/>
  <c r="J96" i="5"/>
  <c r="J104" i="5" s="1"/>
  <c r="I96" i="5"/>
  <c r="I104" i="5" s="1"/>
  <c r="H96" i="5"/>
  <c r="H104" i="5" s="1"/>
  <c r="G96" i="5"/>
  <c r="G104" i="5" s="1"/>
  <c r="F96" i="5"/>
  <c r="F104" i="5" s="1"/>
  <c r="E96" i="5"/>
  <c r="E104" i="5" s="1"/>
  <c r="D96" i="5"/>
  <c r="D104" i="5" s="1"/>
  <c r="C96" i="5"/>
  <c r="C104" i="5" s="1"/>
  <c r="N95" i="5"/>
  <c r="N6" i="5" s="1"/>
  <c r="M95" i="5"/>
  <c r="M6" i="5" s="1"/>
  <c r="L95" i="5"/>
  <c r="L6" i="5" s="1"/>
  <c r="K95" i="5"/>
  <c r="J95" i="5"/>
  <c r="J6" i="5" s="1"/>
  <c r="I95" i="5"/>
  <c r="I6" i="5" s="1"/>
  <c r="H95" i="5"/>
  <c r="H6" i="5" s="1"/>
  <c r="G95" i="5"/>
  <c r="G6" i="5" s="1"/>
  <c r="F95" i="5"/>
  <c r="F6" i="5" s="1"/>
  <c r="E95" i="5"/>
  <c r="E6" i="5" s="1"/>
  <c r="D95" i="5"/>
  <c r="D6" i="5" s="1"/>
  <c r="C95" i="5"/>
  <c r="O94" i="5"/>
  <c r="O88" i="5"/>
  <c r="O87" i="5"/>
  <c r="O86" i="5"/>
  <c r="N85" i="5"/>
  <c r="M85" i="5"/>
  <c r="L85" i="5"/>
  <c r="K85" i="5"/>
  <c r="J85" i="5"/>
  <c r="I85" i="5"/>
  <c r="H85" i="5"/>
  <c r="G85" i="5"/>
  <c r="F85" i="5"/>
  <c r="E85" i="5"/>
  <c r="D85" i="5"/>
  <c r="C85" i="5"/>
  <c r="F84" i="5"/>
  <c r="D84" i="5"/>
  <c r="F83" i="5"/>
  <c r="D83" i="5"/>
  <c r="N82" i="5"/>
  <c r="M82" i="5"/>
  <c r="L82" i="5"/>
  <c r="K82" i="5"/>
  <c r="J82" i="5"/>
  <c r="I82" i="5"/>
  <c r="H82" i="5"/>
  <c r="G82" i="5"/>
  <c r="F82" i="5"/>
  <c r="E82" i="5"/>
  <c r="D82" i="5"/>
  <c r="C82" i="5"/>
  <c r="F81" i="5"/>
  <c r="D81" i="5"/>
  <c r="N80" i="5"/>
  <c r="M80" i="5"/>
  <c r="L80" i="5"/>
  <c r="K80" i="5"/>
  <c r="J80" i="5"/>
  <c r="I80" i="5"/>
  <c r="H80" i="5"/>
  <c r="G80" i="5"/>
  <c r="F80" i="5"/>
  <c r="E80" i="5"/>
  <c r="D80" i="5"/>
  <c r="C80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O77" i="5"/>
  <c r="O76" i="5"/>
  <c r="N75" i="5"/>
  <c r="N83" i="5" s="1"/>
  <c r="M75" i="5"/>
  <c r="M84" i="5" s="1"/>
  <c r="L75" i="5"/>
  <c r="L81" i="5" s="1"/>
  <c r="K75" i="5"/>
  <c r="K84" i="5" s="1"/>
  <c r="J75" i="5"/>
  <c r="J83" i="5" s="1"/>
  <c r="I75" i="5"/>
  <c r="I84" i="5" s="1"/>
  <c r="H75" i="5"/>
  <c r="H84" i="5" s="1"/>
  <c r="G75" i="5"/>
  <c r="G81" i="5" s="1"/>
  <c r="E75" i="5"/>
  <c r="E84" i="5" s="1"/>
  <c r="C75" i="5"/>
  <c r="C81" i="5" s="1"/>
  <c r="O74" i="5"/>
  <c r="O73" i="5"/>
  <c r="O72" i="5"/>
  <c r="O66" i="5"/>
  <c r="N65" i="5"/>
  <c r="M65" i="5"/>
  <c r="L65" i="5"/>
  <c r="K65" i="5"/>
  <c r="J65" i="5"/>
  <c r="I65" i="5"/>
  <c r="H65" i="5"/>
  <c r="G65" i="5"/>
  <c r="F65" i="5"/>
  <c r="E65" i="5"/>
  <c r="D65" i="5"/>
  <c r="C65" i="5"/>
  <c r="O63" i="5"/>
  <c r="O62" i="5"/>
  <c r="N61" i="5"/>
  <c r="M61" i="5"/>
  <c r="M64" i="5" s="1"/>
  <c r="L61" i="5"/>
  <c r="L64" i="5" s="1"/>
  <c r="K61" i="5"/>
  <c r="K64" i="5" s="1"/>
  <c r="J61" i="5"/>
  <c r="I61" i="5"/>
  <c r="I64" i="5" s="1"/>
  <c r="H61" i="5"/>
  <c r="H64" i="5" s="1"/>
  <c r="G61" i="5"/>
  <c r="G64" i="5" s="1"/>
  <c r="F61" i="5"/>
  <c r="E61" i="5"/>
  <c r="E64" i="5" s="1"/>
  <c r="D61" i="5"/>
  <c r="D64" i="5" s="1"/>
  <c r="C61" i="5"/>
  <c r="D60" i="5"/>
  <c r="N58" i="5"/>
  <c r="M58" i="5"/>
  <c r="L58" i="5"/>
  <c r="K58" i="5"/>
  <c r="J58" i="5"/>
  <c r="I58" i="5"/>
  <c r="H58" i="5"/>
  <c r="G58" i="5"/>
  <c r="F58" i="5"/>
  <c r="E58" i="5"/>
  <c r="D58" i="5"/>
  <c r="C58" i="5"/>
  <c r="D57" i="5"/>
  <c r="N56" i="5"/>
  <c r="M56" i="5"/>
  <c r="L56" i="5"/>
  <c r="K56" i="5"/>
  <c r="J56" i="5"/>
  <c r="I56" i="5"/>
  <c r="H56" i="5"/>
  <c r="G56" i="5"/>
  <c r="F56" i="5"/>
  <c r="E56" i="5"/>
  <c r="D56" i="5"/>
  <c r="C56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O53" i="5"/>
  <c r="O52" i="5"/>
  <c r="N51" i="5"/>
  <c r="N60" i="5" s="1"/>
  <c r="M51" i="5"/>
  <c r="M59" i="5" s="1"/>
  <c r="L51" i="5"/>
  <c r="L59" i="5" s="1"/>
  <c r="K51" i="5"/>
  <c r="K60" i="5" s="1"/>
  <c r="J51" i="5"/>
  <c r="J57" i="5" s="1"/>
  <c r="I51" i="5"/>
  <c r="I59" i="5" s="1"/>
  <c r="H51" i="5"/>
  <c r="H60" i="5" s="1"/>
  <c r="G51" i="5"/>
  <c r="G57" i="5" s="1"/>
  <c r="F51" i="5"/>
  <c r="F60" i="5" s="1"/>
  <c r="E51" i="5"/>
  <c r="E60" i="5" s="1"/>
  <c r="C51" i="5"/>
  <c r="C57" i="5" s="1"/>
  <c r="O50" i="5"/>
  <c r="O49" i="5"/>
  <c r="O48" i="5"/>
  <c r="N38" i="5"/>
  <c r="M38" i="5"/>
  <c r="L38" i="5"/>
  <c r="K38" i="5"/>
  <c r="J38" i="5"/>
  <c r="I38" i="5"/>
  <c r="H38" i="5"/>
  <c r="G38" i="5"/>
  <c r="F38" i="5"/>
  <c r="E38" i="5"/>
  <c r="D38" i="5"/>
  <c r="C38" i="5"/>
  <c r="N37" i="5"/>
  <c r="M37" i="5"/>
  <c r="L37" i="5"/>
  <c r="K37" i="5"/>
  <c r="J37" i="5"/>
  <c r="I37" i="5"/>
  <c r="H37" i="5"/>
  <c r="G37" i="5"/>
  <c r="F37" i="5"/>
  <c r="E37" i="5"/>
  <c r="D37" i="5"/>
  <c r="C37" i="5"/>
  <c r="N36" i="5"/>
  <c r="M36" i="5"/>
  <c r="L36" i="5"/>
  <c r="K36" i="5"/>
  <c r="J36" i="5"/>
  <c r="I36" i="5"/>
  <c r="H36" i="5"/>
  <c r="G36" i="5"/>
  <c r="F36" i="5"/>
  <c r="E36" i="5"/>
  <c r="D36" i="5"/>
  <c r="C36" i="5"/>
  <c r="N35" i="5"/>
  <c r="M35" i="5"/>
  <c r="L35" i="5"/>
  <c r="K35" i="5"/>
  <c r="J35" i="5"/>
  <c r="I35" i="5"/>
  <c r="H35" i="5"/>
  <c r="G35" i="5"/>
  <c r="F35" i="5"/>
  <c r="E35" i="5"/>
  <c r="D35" i="5"/>
  <c r="C35" i="5"/>
  <c r="N34" i="5"/>
  <c r="M34" i="5"/>
  <c r="L34" i="5"/>
  <c r="K34" i="5"/>
  <c r="J34" i="5"/>
  <c r="I34" i="5"/>
  <c r="H34" i="5"/>
  <c r="G34" i="5"/>
  <c r="F34" i="5"/>
  <c r="E34" i="5"/>
  <c r="D34" i="5"/>
  <c r="C34" i="5"/>
  <c r="N33" i="5"/>
  <c r="M33" i="5"/>
  <c r="L33" i="5"/>
  <c r="K33" i="5"/>
  <c r="J33" i="5"/>
  <c r="I33" i="5"/>
  <c r="H33" i="5"/>
  <c r="G33" i="5"/>
  <c r="F33" i="5"/>
  <c r="E33" i="5"/>
  <c r="D33" i="5"/>
  <c r="C33" i="5"/>
  <c r="N32" i="5"/>
  <c r="M32" i="5"/>
  <c r="L32" i="5"/>
  <c r="K32" i="5"/>
  <c r="J32" i="5"/>
  <c r="I32" i="5"/>
  <c r="H32" i="5"/>
  <c r="G32" i="5"/>
  <c r="F32" i="5"/>
  <c r="E32" i="5"/>
  <c r="D32" i="5"/>
  <c r="C32" i="5"/>
  <c r="N31" i="5"/>
  <c r="M31" i="5"/>
  <c r="L31" i="5"/>
  <c r="K31" i="5"/>
  <c r="J31" i="5"/>
  <c r="I31" i="5"/>
  <c r="H31" i="5"/>
  <c r="G31" i="5"/>
  <c r="F31" i="5"/>
  <c r="E31" i="5"/>
  <c r="D31" i="5"/>
  <c r="C31" i="5"/>
  <c r="N30" i="5"/>
  <c r="M30" i="5"/>
  <c r="L30" i="5"/>
  <c r="K30" i="5"/>
  <c r="J30" i="5"/>
  <c r="I30" i="5"/>
  <c r="H30" i="5"/>
  <c r="G30" i="5"/>
  <c r="F30" i="5"/>
  <c r="E30" i="5"/>
  <c r="D30" i="5"/>
  <c r="C30" i="5"/>
  <c r="N29" i="5"/>
  <c r="M29" i="5"/>
  <c r="L29" i="5"/>
  <c r="K29" i="5"/>
  <c r="J29" i="5"/>
  <c r="I29" i="5"/>
  <c r="H29" i="5"/>
  <c r="G29" i="5"/>
  <c r="F29" i="5"/>
  <c r="E29" i="5"/>
  <c r="D29" i="5"/>
  <c r="C29" i="5"/>
  <c r="N28" i="5"/>
  <c r="M28" i="5"/>
  <c r="L28" i="5"/>
  <c r="K28" i="5"/>
  <c r="J28" i="5"/>
  <c r="I28" i="5"/>
  <c r="H28" i="5"/>
  <c r="G28" i="5"/>
  <c r="F28" i="5"/>
  <c r="E28" i="5"/>
  <c r="D28" i="5"/>
  <c r="C28" i="5"/>
  <c r="N27" i="5"/>
  <c r="M27" i="5"/>
  <c r="L27" i="5"/>
  <c r="K27" i="5"/>
  <c r="J27" i="5"/>
  <c r="I27" i="5"/>
  <c r="H27" i="5"/>
  <c r="G27" i="5"/>
  <c r="F27" i="5"/>
  <c r="E27" i="5"/>
  <c r="D27" i="5"/>
  <c r="C27" i="5"/>
  <c r="N26" i="5"/>
  <c r="M26" i="5"/>
  <c r="L26" i="5"/>
  <c r="K26" i="5"/>
  <c r="J26" i="5"/>
  <c r="I26" i="5"/>
  <c r="H26" i="5"/>
  <c r="G26" i="5"/>
  <c r="F26" i="5"/>
  <c r="E26" i="5"/>
  <c r="D26" i="5"/>
  <c r="C26" i="5"/>
  <c r="N25" i="5"/>
  <c r="M25" i="5"/>
  <c r="L25" i="5"/>
  <c r="K25" i="5"/>
  <c r="J25" i="5"/>
  <c r="I25" i="5"/>
  <c r="H25" i="5"/>
  <c r="G25" i="5"/>
  <c r="F25" i="5"/>
  <c r="E25" i="5"/>
  <c r="D25" i="5"/>
  <c r="C25" i="5"/>
  <c r="I23" i="5"/>
  <c r="H23" i="5"/>
  <c r="D23" i="5"/>
  <c r="F20" i="5"/>
  <c r="D19" i="5"/>
  <c r="N11" i="5"/>
  <c r="G10" i="5"/>
  <c r="K6" i="5"/>
  <c r="C6" i="5"/>
  <c r="N5" i="5"/>
  <c r="M5" i="5"/>
  <c r="L5" i="5"/>
  <c r="K5" i="5"/>
  <c r="J5" i="5"/>
  <c r="I5" i="5"/>
  <c r="H5" i="5"/>
  <c r="G5" i="5"/>
  <c r="F5" i="5"/>
  <c r="E5" i="5"/>
  <c r="D5" i="5"/>
  <c r="C5" i="5"/>
  <c r="H97" i="5" l="1"/>
  <c r="H8" i="5" s="1"/>
  <c r="L97" i="5"/>
  <c r="K102" i="5"/>
  <c r="O230" i="5"/>
  <c r="K7" i="5"/>
  <c r="K22" i="5" s="1"/>
  <c r="C7" i="5"/>
  <c r="C13" i="5" s="1"/>
  <c r="J97" i="5"/>
  <c r="J103" i="5" s="1"/>
  <c r="F107" i="5"/>
  <c r="J107" i="5"/>
  <c r="J18" i="5" s="1"/>
  <c r="J21" i="5" s="1"/>
  <c r="N107" i="5"/>
  <c r="N18" i="5" s="1"/>
  <c r="M7" i="5"/>
  <c r="M15" i="5" s="1"/>
  <c r="M97" i="5"/>
  <c r="M8" i="5" s="1"/>
  <c r="M17" i="5" s="1"/>
  <c r="D107" i="5"/>
  <c r="D18" i="5" s="1"/>
  <c r="C107" i="5"/>
  <c r="C18" i="5" s="1"/>
  <c r="K107" i="5"/>
  <c r="D103" i="5"/>
  <c r="I97" i="5"/>
  <c r="I106" i="5" s="1"/>
  <c r="E97" i="5"/>
  <c r="E8" i="5" s="1"/>
  <c r="E14" i="5" s="1"/>
  <c r="G100" i="5"/>
  <c r="G11" i="5" s="1"/>
  <c r="I7" i="5"/>
  <c r="I13" i="5" s="1"/>
  <c r="C97" i="5"/>
  <c r="C106" i="5" s="1"/>
  <c r="G97" i="5"/>
  <c r="K97" i="5"/>
  <c r="K103" i="5" s="1"/>
  <c r="F7" i="5"/>
  <c r="F13" i="5" s="1"/>
  <c r="F8" i="5"/>
  <c r="F14" i="5" s="1"/>
  <c r="M57" i="5"/>
  <c r="H174" i="5"/>
  <c r="G7" i="5"/>
  <c r="G13" i="5" s="1"/>
  <c r="N7" i="5"/>
  <c r="N12" i="5" s="1"/>
  <c r="C84" i="5"/>
  <c r="D8" i="5"/>
  <c r="D17" i="5" s="1"/>
  <c r="O79" i="5"/>
  <c r="C125" i="5"/>
  <c r="H209" i="5"/>
  <c r="I212" i="5"/>
  <c r="J101" i="5"/>
  <c r="I209" i="5"/>
  <c r="M211" i="5"/>
  <c r="E209" i="5"/>
  <c r="L8" i="5"/>
  <c r="L17" i="5" s="1"/>
  <c r="O25" i="5"/>
  <c r="E7" i="5"/>
  <c r="E15" i="5" s="1"/>
  <c r="J7" i="5"/>
  <c r="J22" i="5" s="1"/>
  <c r="J9" i="5"/>
  <c r="O9" i="5" s="1"/>
  <c r="K18" i="5"/>
  <c r="O82" i="5"/>
  <c r="E83" i="5"/>
  <c r="D101" i="5"/>
  <c r="H101" i="5"/>
  <c r="G128" i="5"/>
  <c r="L149" i="5"/>
  <c r="C172" i="5"/>
  <c r="C174" i="5"/>
  <c r="M212" i="5"/>
  <c r="O232" i="5"/>
  <c r="O235" i="5"/>
  <c r="G107" i="5"/>
  <c r="G18" i="5" s="1"/>
  <c r="C255" i="5"/>
  <c r="K256" i="5"/>
  <c r="O56" i="5"/>
  <c r="L57" i="5"/>
  <c r="L60" i="5"/>
  <c r="J81" i="5"/>
  <c r="J84" i="5"/>
  <c r="I128" i="5"/>
  <c r="H150" i="5"/>
  <c r="C253" i="5"/>
  <c r="G255" i="5"/>
  <c r="N81" i="5"/>
  <c r="N84" i="5"/>
  <c r="K255" i="5"/>
  <c r="E81" i="5"/>
  <c r="O148" i="5"/>
  <c r="H149" i="5"/>
  <c r="O171" i="5"/>
  <c r="F170" i="5"/>
  <c r="J174" i="5"/>
  <c r="H231" i="5"/>
  <c r="L234" i="5"/>
  <c r="O252" i="5"/>
  <c r="O6" i="5"/>
  <c r="J15" i="5"/>
  <c r="L15" i="5"/>
  <c r="N8" i="5"/>
  <c r="L24" i="5"/>
  <c r="M60" i="5"/>
  <c r="D7" i="5"/>
  <c r="D15" i="5" s="1"/>
  <c r="H7" i="5"/>
  <c r="H15" i="5" s="1"/>
  <c r="H18" i="5"/>
  <c r="I57" i="5"/>
  <c r="I60" i="5"/>
  <c r="O61" i="5"/>
  <c r="O64" i="5" s="1"/>
  <c r="O65" i="5"/>
  <c r="I81" i="5"/>
  <c r="I83" i="5"/>
  <c r="G84" i="5"/>
  <c r="C101" i="5"/>
  <c r="G101" i="5"/>
  <c r="O124" i="5"/>
  <c r="K125" i="5"/>
  <c r="C128" i="5"/>
  <c r="M128" i="5"/>
  <c r="O146" i="5"/>
  <c r="J147" i="5"/>
  <c r="D150" i="5"/>
  <c r="N150" i="5"/>
  <c r="N170" i="5"/>
  <c r="H172" i="5"/>
  <c r="F174" i="5"/>
  <c r="O175" i="5"/>
  <c r="C212" i="5"/>
  <c r="K212" i="5"/>
  <c r="G231" i="5"/>
  <c r="L231" i="5"/>
  <c r="H233" i="5"/>
  <c r="F234" i="5"/>
  <c r="E107" i="5"/>
  <c r="E18" i="5" s="1"/>
  <c r="I107" i="5"/>
  <c r="I18" i="5" s="1"/>
  <c r="M107" i="5"/>
  <c r="M18" i="5" s="1"/>
  <c r="O247" i="5"/>
  <c r="O256" i="5" s="1"/>
  <c r="O251" i="5"/>
  <c r="E253" i="5"/>
  <c r="M253" i="5"/>
  <c r="I255" i="5"/>
  <c r="E256" i="5"/>
  <c r="M256" i="5"/>
  <c r="L12" i="5"/>
  <c r="O26" i="5"/>
  <c r="O29" i="5"/>
  <c r="O30" i="5"/>
  <c r="O31" i="5"/>
  <c r="O32" i="5"/>
  <c r="O34" i="5"/>
  <c r="O35" i="5"/>
  <c r="O36" i="5"/>
  <c r="O37" i="5"/>
  <c r="O38" i="5"/>
  <c r="H105" i="5"/>
  <c r="D102" i="5"/>
  <c r="H102" i="5"/>
  <c r="L102" i="5"/>
  <c r="O108" i="5"/>
  <c r="O19" i="5" s="1"/>
  <c r="E127" i="5"/>
  <c r="N147" i="5"/>
  <c r="F150" i="5"/>
  <c r="O151" i="5"/>
  <c r="J233" i="5"/>
  <c r="G256" i="5"/>
  <c r="F15" i="5"/>
  <c r="E106" i="5"/>
  <c r="M24" i="5"/>
  <c r="O145" i="5"/>
  <c r="G212" i="5"/>
  <c r="J231" i="5"/>
  <c r="N233" i="5"/>
  <c r="I253" i="5"/>
  <c r="O5" i="5"/>
  <c r="K24" i="5"/>
  <c r="L22" i="5"/>
  <c r="K8" i="5"/>
  <c r="E57" i="5"/>
  <c r="C83" i="5"/>
  <c r="G83" i="5"/>
  <c r="F105" i="5"/>
  <c r="N105" i="5"/>
  <c r="N103" i="5"/>
  <c r="F102" i="5"/>
  <c r="G125" i="5"/>
  <c r="I127" i="5"/>
  <c r="K128" i="5"/>
  <c r="F147" i="5"/>
  <c r="J150" i="5"/>
  <c r="J170" i="5"/>
  <c r="N174" i="5"/>
  <c r="K231" i="5"/>
  <c r="F233" i="5"/>
  <c r="I12" i="5"/>
  <c r="L13" i="5"/>
  <c r="O28" i="5"/>
  <c r="O51" i="5"/>
  <c r="O59" i="5" s="1"/>
  <c r="N57" i="5"/>
  <c r="G60" i="5"/>
  <c r="O75" i="5"/>
  <c r="K83" i="5"/>
  <c r="O85" i="5"/>
  <c r="O96" i="5"/>
  <c r="O104" i="5" s="1"/>
  <c r="I103" i="5"/>
  <c r="I101" i="5"/>
  <c r="M103" i="5"/>
  <c r="M101" i="5"/>
  <c r="H106" i="5"/>
  <c r="K101" i="5"/>
  <c r="J105" i="5"/>
  <c r="H128" i="5"/>
  <c r="H125" i="5"/>
  <c r="H127" i="5"/>
  <c r="D125" i="5"/>
  <c r="L125" i="5"/>
  <c r="D128" i="5"/>
  <c r="L128" i="5"/>
  <c r="C150" i="5"/>
  <c r="C147" i="5"/>
  <c r="G149" i="5"/>
  <c r="G150" i="5"/>
  <c r="G147" i="5"/>
  <c r="O141" i="5"/>
  <c r="C8" i="5"/>
  <c r="C17" i="5" s="1"/>
  <c r="C15" i="5"/>
  <c r="L18" i="5"/>
  <c r="L21" i="5" s="1"/>
  <c r="O58" i="5"/>
  <c r="N59" i="5"/>
  <c r="F64" i="5"/>
  <c r="F18" i="5"/>
  <c r="J64" i="5"/>
  <c r="N64" i="5"/>
  <c r="C64" i="5"/>
  <c r="H81" i="5"/>
  <c r="H83" i="5"/>
  <c r="O80" i="5"/>
  <c r="L83" i="5"/>
  <c r="L84" i="5"/>
  <c r="L104" i="5"/>
  <c r="L101" i="5"/>
  <c r="C105" i="5"/>
  <c r="K105" i="5"/>
  <c r="F103" i="5"/>
  <c r="E102" i="5"/>
  <c r="M102" i="5"/>
  <c r="I11" i="5"/>
  <c r="O11" i="5" s="1"/>
  <c r="F101" i="5"/>
  <c r="N101" i="5"/>
  <c r="G102" i="5"/>
  <c r="C103" i="5"/>
  <c r="D105" i="5"/>
  <c r="C149" i="5"/>
  <c r="E174" i="5"/>
  <c r="E170" i="5"/>
  <c r="I174" i="5"/>
  <c r="I172" i="5"/>
  <c r="I170" i="5"/>
  <c r="F22" i="5"/>
  <c r="I24" i="5"/>
  <c r="L105" i="5"/>
  <c r="L103" i="5"/>
  <c r="O98" i="5"/>
  <c r="J102" i="5"/>
  <c r="J10" i="5"/>
  <c r="N102" i="5"/>
  <c r="N10" i="5"/>
  <c r="I102" i="5"/>
  <c r="L106" i="5"/>
  <c r="O126" i="5"/>
  <c r="F128" i="5"/>
  <c r="F125" i="5"/>
  <c r="J128" i="5"/>
  <c r="J127" i="5"/>
  <c r="N128" i="5"/>
  <c r="N125" i="5"/>
  <c r="N127" i="5"/>
  <c r="J125" i="5"/>
  <c r="O129" i="5"/>
  <c r="E150" i="5"/>
  <c r="E147" i="5"/>
  <c r="I150" i="5"/>
  <c r="I149" i="5"/>
  <c r="M150" i="5"/>
  <c r="M147" i="5"/>
  <c r="I147" i="5"/>
  <c r="E149" i="5"/>
  <c r="M149" i="5"/>
  <c r="K12" i="5"/>
  <c r="M12" i="5"/>
  <c r="K15" i="5"/>
  <c r="O33" i="5"/>
  <c r="J60" i="5"/>
  <c r="J59" i="5"/>
  <c r="F57" i="5"/>
  <c r="K81" i="5"/>
  <c r="O100" i="5"/>
  <c r="C102" i="5"/>
  <c r="H103" i="5"/>
  <c r="K104" i="5"/>
  <c r="I105" i="5"/>
  <c r="K150" i="5"/>
  <c r="G174" i="5"/>
  <c r="G170" i="5"/>
  <c r="G172" i="5"/>
  <c r="K174" i="5"/>
  <c r="K172" i="5"/>
  <c r="O163" i="5"/>
  <c r="O172" i="5" s="1"/>
  <c r="O169" i="5"/>
  <c r="K170" i="5"/>
  <c r="C12" i="5"/>
  <c r="K59" i="5"/>
  <c r="K57" i="5"/>
  <c r="O55" i="5"/>
  <c r="O95" i="5"/>
  <c r="E103" i="5"/>
  <c r="E101" i="5"/>
  <c r="D106" i="5"/>
  <c r="K149" i="5"/>
  <c r="D212" i="5"/>
  <c r="D209" i="5"/>
  <c r="O229" i="5"/>
  <c r="O23" i="5"/>
  <c r="O27" i="5"/>
  <c r="H57" i="5"/>
  <c r="C60" i="5"/>
  <c r="M81" i="5"/>
  <c r="M83" i="5"/>
  <c r="O99" i="5"/>
  <c r="O123" i="5"/>
  <c r="M174" i="5"/>
  <c r="M170" i="5"/>
  <c r="O210" i="5"/>
  <c r="F212" i="5"/>
  <c r="F209" i="5"/>
  <c r="J212" i="5"/>
  <c r="J209" i="5"/>
  <c r="N212" i="5"/>
  <c r="N211" i="5"/>
  <c r="N209" i="5"/>
  <c r="O208" i="5"/>
  <c r="F106" i="5"/>
  <c r="J106" i="5"/>
  <c r="N106" i="5"/>
  <c r="O109" i="5"/>
  <c r="O20" i="5" s="1"/>
  <c r="O110" i="5"/>
  <c r="M127" i="5"/>
  <c r="E128" i="5"/>
  <c r="D149" i="5"/>
  <c r="L150" i="5"/>
  <c r="L172" i="5"/>
  <c r="O207" i="5"/>
  <c r="L211" i="5"/>
  <c r="C234" i="5"/>
  <c r="C233" i="5"/>
  <c r="O225" i="5"/>
  <c r="O231" i="5" s="1"/>
  <c r="C231" i="5"/>
  <c r="O257" i="5"/>
  <c r="O253" i="5"/>
  <c r="O167" i="5"/>
  <c r="L174" i="5"/>
  <c r="L209" i="5"/>
  <c r="O213" i="5"/>
  <c r="N231" i="5"/>
  <c r="D253" i="5"/>
  <c r="D256" i="5"/>
  <c r="D255" i="5"/>
  <c r="H253" i="5"/>
  <c r="H256" i="5"/>
  <c r="H255" i="5"/>
  <c r="L253" i="5"/>
  <c r="L256" i="5"/>
  <c r="L255" i="5"/>
  <c r="O203" i="5"/>
  <c r="E233" i="5"/>
  <c r="I233" i="5"/>
  <c r="M233" i="5"/>
  <c r="E234" i="5"/>
  <c r="I234" i="5"/>
  <c r="M234" i="5"/>
  <c r="F253" i="5"/>
  <c r="J253" i="5"/>
  <c r="N253" i="5"/>
  <c r="O119" i="5"/>
  <c r="K209" i="5"/>
  <c r="G233" i="5"/>
  <c r="K233" i="5"/>
  <c r="F255" i="5"/>
  <c r="J255" i="5"/>
  <c r="N255" i="5"/>
  <c r="H17" i="5" l="1"/>
  <c r="H14" i="5"/>
  <c r="H16" i="5"/>
  <c r="J8" i="5"/>
  <c r="J24" i="5"/>
  <c r="J14" i="5"/>
  <c r="E105" i="5"/>
  <c r="G22" i="5"/>
  <c r="M13" i="5"/>
  <c r="G12" i="5"/>
  <c r="F24" i="5"/>
  <c r="M105" i="5"/>
  <c r="F21" i="5"/>
  <c r="G15" i="5"/>
  <c r="K16" i="5"/>
  <c r="K13" i="5"/>
  <c r="I8" i="5"/>
  <c r="I14" i="5" s="1"/>
  <c r="C22" i="5"/>
  <c r="G21" i="5"/>
  <c r="K21" i="5"/>
  <c r="I15" i="5"/>
  <c r="D14" i="5"/>
  <c r="J16" i="5"/>
  <c r="C24" i="5"/>
  <c r="F12" i="5"/>
  <c r="C21" i="5"/>
  <c r="L16" i="5"/>
  <c r="I22" i="5"/>
  <c r="K106" i="5"/>
  <c r="O97" i="5"/>
  <c r="O106" i="5" s="1"/>
  <c r="N15" i="5"/>
  <c r="M22" i="5"/>
  <c r="M21" i="5"/>
  <c r="F17" i="5"/>
  <c r="M106" i="5"/>
  <c r="G106" i="5"/>
  <c r="G105" i="5"/>
  <c r="G8" i="5"/>
  <c r="G16" i="5" s="1"/>
  <c r="G103" i="5"/>
  <c r="I21" i="5"/>
  <c r="M14" i="5"/>
  <c r="M16" i="5"/>
  <c r="F16" i="5"/>
  <c r="E22" i="5"/>
  <c r="N21" i="5"/>
  <c r="E21" i="5"/>
  <c r="E13" i="5"/>
  <c r="E12" i="5"/>
  <c r="K17" i="5"/>
  <c r="N16" i="5"/>
  <c r="O7" i="5"/>
  <c r="O15" i="5" s="1"/>
  <c r="N24" i="5"/>
  <c r="O174" i="5"/>
  <c r="E24" i="5"/>
  <c r="N22" i="5"/>
  <c r="D21" i="5"/>
  <c r="D22" i="5"/>
  <c r="D13" i="5"/>
  <c r="C14" i="5"/>
  <c r="K14" i="5"/>
  <c r="O57" i="5"/>
  <c r="J13" i="5"/>
  <c r="L14" i="5"/>
  <c r="J12" i="5"/>
  <c r="G24" i="5"/>
  <c r="D24" i="5"/>
  <c r="N13" i="5"/>
  <c r="O170" i="5"/>
  <c r="O10" i="5"/>
  <c r="D12" i="5"/>
  <c r="O107" i="5"/>
  <c r="N17" i="5"/>
  <c r="J17" i="5"/>
  <c r="O24" i="5"/>
  <c r="H13" i="5"/>
  <c r="N14" i="5"/>
  <c r="H24" i="5"/>
  <c r="H21" i="5"/>
  <c r="E16" i="5"/>
  <c r="E17" i="5"/>
  <c r="H12" i="5"/>
  <c r="O18" i="5"/>
  <c r="O21" i="5" s="1"/>
  <c r="H22" i="5"/>
  <c r="D16" i="5"/>
  <c r="O127" i="5"/>
  <c r="O128" i="5"/>
  <c r="O125" i="5"/>
  <c r="O150" i="5"/>
  <c r="O147" i="5"/>
  <c r="O149" i="5"/>
  <c r="O84" i="5"/>
  <c r="O83" i="5"/>
  <c r="O81" i="5"/>
  <c r="O211" i="5"/>
  <c r="O212" i="5"/>
  <c r="O234" i="5"/>
  <c r="O209" i="5"/>
  <c r="O102" i="5"/>
  <c r="O101" i="5"/>
  <c r="O60" i="5"/>
  <c r="C16" i="5"/>
  <c r="O12" i="5" l="1"/>
  <c r="I17" i="5"/>
  <c r="O105" i="5"/>
  <c r="O103" i="5"/>
  <c r="I16" i="5"/>
  <c r="O8" i="5"/>
  <c r="O16" i="5" s="1"/>
  <c r="G17" i="5"/>
  <c r="O13" i="5"/>
  <c r="O22" i="5"/>
  <c r="G14" i="5"/>
  <c r="O17" i="5"/>
  <c r="O14" i="5" l="1"/>
  <c r="O233" i="4" l="1"/>
  <c r="O232" i="4"/>
  <c r="O231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O225" i="4"/>
  <c r="O224" i="4"/>
  <c r="O223" i="4"/>
  <c r="N222" i="4"/>
  <c r="N229" i="4" s="1"/>
  <c r="M222" i="4"/>
  <c r="M229" i="4" s="1"/>
  <c r="L222" i="4"/>
  <c r="L228" i="4" s="1"/>
  <c r="K222" i="4"/>
  <c r="K229" i="4" s="1"/>
  <c r="J222" i="4"/>
  <c r="J229" i="4" s="1"/>
  <c r="I222" i="4"/>
  <c r="I229" i="4" s="1"/>
  <c r="H222" i="4"/>
  <c r="H229" i="4" s="1"/>
  <c r="G222" i="4"/>
  <c r="G229" i="4" s="1"/>
  <c r="F222" i="4"/>
  <c r="F229" i="4" s="1"/>
  <c r="E222" i="4"/>
  <c r="E229" i="4" s="1"/>
  <c r="D222" i="4"/>
  <c r="D229" i="4" s="1"/>
  <c r="C222" i="4"/>
  <c r="C229" i="4" s="1"/>
  <c r="O221" i="4"/>
  <c r="O220" i="4"/>
  <c r="O219" i="4"/>
  <c r="N216" i="4"/>
  <c r="O213" i="4"/>
  <c r="O212" i="4"/>
  <c r="O211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O205" i="4"/>
  <c r="O204" i="4"/>
  <c r="O203" i="4"/>
  <c r="N202" i="4"/>
  <c r="N209" i="4" s="1"/>
  <c r="M202" i="4"/>
  <c r="M209" i="4" s="1"/>
  <c r="L202" i="4"/>
  <c r="L208" i="4" s="1"/>
  <c r="K202" i="4"/>
  <c r="K209" i="4" s="1"/>
  <c r="J202" i="4"/>
  <c r="J209" i="4" s="1"/>
  <c r="I202" i="4"/>
  <c r="I209" i="4" s="1"/>
  <c r="H202" i="4"/>
  <c r="H209" i="4" s="1"/>
  <c r="G202" i="4"/>
  <c r="G209" i="4" s="1"/>
  <c r="F202" i="4"/>
  <c r="F209" i="4" s="1"/>
  <c r="E202" i="4"/>
  <c r="E209" i="4" s="1"/>
  <c r="D202" i="4"/>
  <c r="D209" i="4" s="1"/>
  <c r="C202" i="4"/>
  <c r="C209" i="4" s="1"/>
  <c r="O201" i="4"/>
  <c r="O200" i="4"/>
  <c r="O199" i="4"/>
  <c r="N196" i="4"/>
  <c r="O193" i="4"/>
  <c r="O192" i="4"/>
  <c r="O191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O185" i="4"/>
  <c r="O184" i="4"/>
  <c r="O183" i="4"/>
  <c r="N182" i="4"/>
  <c r="N189" i="4" s="1"/>
  <c r="M182" i="4"/>
  <c r="M189" i="4" s="1"/>
  <c r="L182" i="4"/>
  <c r="L188" i="4" s="1"/>
  <c r="K182" i="4"/>
  <c r="K189" i="4" s="1"/>
  <c r="J182" i="4"/>
  <c r="J189" i="4" s="1"/>
  <c r="I182" i="4"/>
  <c r="I189" i="4" s="1"/>
  <c r="H182" i="4"/>
  <c r="H188" i="4" s="1"/>
  <c r="G182" i="4"/>
  <c r="G189" i="4" s="1"/>
  <c r="F182" i="4"/>
  <c r="F189" i="4" s="1"/>
  <c r="E182" i="4"/>
  <c r="E189" i="4" s="1"/>
  <c r="D182" i="4"/>
  <c r="D189" i="4" s="1"/>
  <c r="C182" i="4"/>
  <c r="C189" i="4" s="1"/>
  <c r="O181" i="4"/>
  <c r="O180" i="4"/>
  <c r="O179" i="4"/>
  <c r="N176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O152" i="4"/>
  <c r="O151" i="4"/>
  <c r="O150" i="4"/>
  <c r="N149" i="4"/>
  <c r="N156" i="4" s="1"/>
  <c r="M149" i="4"/>
  <c r="M156" i="4" s="1"/>
  <c r="L149" i="4"/>
  <c r="L156" i="4" s="1"/>
  <c r="K149" i="4"/>
  <c r="K156" i="4" s="1"/>
  <c r="J149" i="4"/>
  <c r="J156" i="4" s="1"/>
  <c r="I149" i="4"/>
  <c r="I156" i="4" s="1"/>
  <c r="H149" i="4"/>
  <c r="H156" i="4" s="1"/>
  <c r="G149" i="4"/>
  <c r="G156" i="4" s="1"/>
  <c r="F149" i="4"/>
  <c r="F156" i="4" s="1"/>
  <c r="E149" i="4"/>
  <c r="E155" i="4" s="1"/>
  <c r="D149" i="4"/>
  <c r="D156" i="4" s="1"/>
  <c r="C149" i="4"/>
  <c r="O148" i="4"/>
  <c r="O147" i="4"/>
  <c r="O146" i="4"/>
  <c r="N143" i="4"/>
  <c r="O140" i="4"/>
  <c r="O139" i="4"/>
  <c r="O138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O132" i="4"/>
  <c r="O131" i="4"/>
  <c r="O130" i="4"/>
  <c r="N129" i="4"/>
  <c r="N136" i="4" s="1"/>
  <c r="M129" i="4"/>
  <c r="M136" i="4" s="1"/>
  <c r="L129" i="4"/>
  <c r="K129" i="4"/>
  <c r="K136" i="4" s="1"/>
  <c r="J129" i="4"/>
  <c r="J136" i="4" s="1"/>
  <c r="I129" i="4"/>
  <c r="I136" i="4" s="1"/>
  <c r="H129" i="4"/>
  <c r="G129" i="4"/>
  <c r="G136" i="4" s="1"/>
  <c r="F129" i="4"/>
  <c r="F136" i="4" s="1"/>
  <c r="E129" i="4"/>
  <c r="E136" i="4" s="1"/>
  <c r="D129" i="4"/>
  <c r="C129" i="4"/>
  <c r="O128" i="4"/>
  <c r="O127" i="4"/>
  <c r="O126" i="4"/>
  <c r="N123" i="4"/>
  <c r="O120" i="4"/>
  <c r="O119" i="4"/>
  <c r="O118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O112" i="4"/>
  <c r="O111" i="4"/>
  <c r="O110" i="4"/>
  <c r="N109" i="4"/>
  <c r="N116" i="4" s="1"/>
  <c r="M109" i="4"/>
  <c r="M116" i="4" s="1"/>
  <c r="L109" i="4"/>
  <c r="K109" i="4"/>
  <c r="K116" i="4" s="1"/>
  <c r="J109" i="4"/>
  <c r="J116" i="4" s="1"/>
  <c r="I109" i="4"/>
  <c r="I115" i="4" s="1"/>
  <c r="H109" i="4"/>
  <c r="G109" i="4"/>
  <c r="G116" i="4" s="1"/>
  <c r="F109" i="4"/>
  <c r="F116" i="4" s="1"/>
  <c r="E109" i="4"/>
  <c r="E116" i="4" s="1"/>
  <c r="D109" i="4"/>
  <c r="C109" i="4"/>
  <c r="O108" i="4"/>
  <c r="O107" i="4"/>
  <c r="O106" i="4"/>
  <c r="N103" i="4"/>
  <c r="N100" i="4"/>
  <c r="N21" i="4" s="1"/>
  <c r="M100" i="4"/>
  <c r="L100" i="4"/>
  <c r="K100" i="4"/>
  <c r="J100" i="4"/>
  <c r="J21" i="4" s="1"/>
  <c r="I100" i="4"/>
  <c r="H100" i="4"/>
  <c r="G100" i="4"/>
  <c r="F100" i="4"/>
  <c r="F21" i="4" s="1"/>
  <c r="E100" i="4"/>
  <c r="D100" i="4"/>
  <c r="C100" i="4"/>
  <c r="N99" i="4"/>
  <c r="N18" i="4" s="1"/>
  <c r="M99" i="4"/>
  <c r="L99" i="4"/>
  <c r="K99" i="4"/>
  <c r="J99" i="4"/>
  <c r="J18" i="4" s="1"/>
  <c r="I99" i="4"/>
  <c r="H99" i="4"/>
  <c r="G99" i="4"/>
  <c r="F99" i="4"/>
  <c r="F18" i="4" s="1"/>
  <c r="E99" i="4"/>
  <c r="D99" i="4"/>
  <c r="N98" i="4"/>
  <c r="M98" i="4"/>
  <c r="L98" i="4"/>
  <c r="K98" i="4"/>
  <c r="J98" i="4"/>
  <c r="I98" i="4"/>
  <c r="I97" i="4" s="1"/>
  <c r="H98" i="4"/>
  <c r="G98" i="4"/>
  <c r="F98" i="4"/>
  <c r="E98" i="4"/>
  <c r="D98" i="4"/>
  <c r="C98" i="4"/>
  <c r="N92" i="4"/>
  <c r="M92" i="4"/>
  <c r="L92" i="4"/>
  <c r="K92" i="4"/>
  <c r="J92" i="4"/>
  <c r="I92" i="4"/>
  <c r="I11" i="4" s="1"/>
  <c r="H92" i="4"/>
  <c r="H11" i="4" s="1"/>
  <c r="G92" i="4"/>
  <c r="F92" i="4"/>
  <c r="E92" i="4"/>
  <c r="D92" i="4"/>
  <c r="C92" i="4"/>
  <c r="N91" i="4"/>
  <c r="M91" i="4"/>
  <c r="M10" i="4" s="1"/>
  <c r="L91" i="4"/>
  <c r="K91" i="4"/>
  <c r="J91" i="4"/>
  <c r="I91" i="4"/>
  <c r="I10" i="4" s="1"/>
  <c r="H91" i="4"/>
  <c r="G91" i="4"/>
  <c r="F91" i="4"/>
  <c r="E91" i="4"/>
  <c r="E10" i="4" s="1"/>
  <c r="D91" i="4"/>
  <c r="C91" i="4"/>
  <c r="N90" i="4"/>
  <c r="M90" i="4"/>
  <c r="L90" i="4"/>
  <c r="K90" i="4"/>
  <c r="J90" i="4"/>
  <c r="J9" i="4" s="1"/>
  <c r="I90" i="4"/>
  <c r="H90" i="4"/>
  <c r="G90" i="4"/>
  <c r="F90" i="4"/>
  <c r="F9" i="4" s="1"/>
  <c r="E90" i="4"/>
  <c r="E9" i="4" s="1"/>
  <c r="D90" i="4"/>
  <c r="C90" i="4"/>
  <c r="N88" i="4"/>
  <c r="M88" i="4"/>
  <c r="M7" i="4" s="1"/>
  <c r="L88" i="4"/>
  <c r="K88" i="4"/>
  <c r="J88" i="4"/>
  <c r="I88" i="4"/>
  <c r="I7" i="4" s="1"/>
  <c r="H88" i="4"/>
  <c r="G88" i="4"/>
  <c r="F88" i="4"/>
  <c r="E88" i="4"/>
  <c r="E7" i="4" s="1"/>
  <c r="D88" i="4"/>
  <c r="C88" i="4"/>
  <c r="N87" i="4"/>
  <c r="M87" i="4"/>
  <c r="M6" i="4" s="1"/>
  <c r="L87" i="4"/>
  <c r="K87" i="4"/>
  <c r="J87" i="4"/>
  <c r="I87" i="4"/>
  <c r="I6" i="4" s="1"/>
  <c r="H87" i="4"/>
  <c r="G87" i="4"/>
  <c r="F87" i="4"/>
  <c r="E87" i="4"/>
  <c r="E6" i="4" s="1"/>
  <c r="D87" i="4"/>
  <c r="C87" i="4"/>
  <c r="N86" i="4"/>
  <c r="N89" i="4" s="1"/>
  <c r="M86" i="4"/>
  <c r="M89" i="4" s="1"/>
  <c r="M95" i="4" s="1"/>
  <c r="L86" i="4"/>
  <c r="L89" i="4" s="1"/>
  <c r="K86" i="4"/>
  <c r="K89" i="4" s="1"/>
  <c r="J86" i="4"/>
  <c r="J94" i="4" s="1"/>
  <c r="I86" i="4"/>
  <c r="I89" i="4" s="1"/>
  <c r="I95" i="4" s="1"/>
  <c r="H86" i="4"/>
  <c r="H89" i="4" s="1"/>
  <c r="H95" i="4" s="1"/>
  <c r="G86" i="4"/>
  <c r="G89" i="4" s="1"/>
  <c r="F86" i="4"/>
  <c r="F94" i="4" s="1"/>
  <c r="E86" i="4"/>
  <c r="E89" i="4" s="1"/>
  <c r="E95" i="4" s="1"/>
  <c r="D86" i="4"/>
  <c r="D89" i="4" s="1"/>
  <c r="C86" i="4"/>
  <c r="C89" i="4" s="1"/>
  <c r="O84" i="4"/>
  <c r="O3" i="4" s="1"/>
  <c r="N83" i="4"/>
  <c r="O80" i="4"/>
  <c r="O79" i="4"/>
  <c r="O78" i="4"/>
  <c r="N77" i="4"/>
  <c r="M77" i="4"/>
  <c r="L77" i="4"/>
  <c r="K77" i="4"/>
  <c r="J77" i="4"/>
  <c r="I77" i="4"/>
  <c r="H77" i="4"/>
  <c r="G77" i="4"/>
  <c r="F77" i="4"/>
  <c r="E77" i="4"/>
  <c r="D77" i="4"/>
  <c r="C77" i="4"/>
  <c r="N74" i="4"/>
  <c r="M74" i="4"/>
  <c r="L74" i="4"/>
  <c r="K74" i="4"/>
  <c r="J74" i="4"/>
  <c r="I74" i="4"/>
  <c r="H74" i="4"/>
  <c r="G74" i="4"/>
  <c r="F74" i="4"/>
  <c r="E74" i="4"/>
  <c r="D74" i="4"/>
  <c r="C74" i="4"/>
  <c r="N73" i="4"/>
  <c r="M73" i="4"/>
  <c r="L73" i="4"/>
  <c r="K73" i="4"/>
  <c r="J73" i="4"/>
  <c r="I73" i="4"/>
  <c r="H73" i="4"/>
  <c r="G73" i="4"/>
  <c r="F73" i="4"/>
  <c r="E73" i="4"/>
  <c r="D73" i="4"/>
  <c r="C73" i="4"/>
  <c r="O72" i="4"/>
  <c r="O71" i="4"/>
  <c r="O70" i="4"/>
  <c r="N69" i="4"/>
  <c r="N76" i="4" s="1"/>
  <c r="M69" i="4"/>
  <c r="M76" i="4" s="1"/>
  <c r="L69" i="4"/>
  <c r="L75" i="4" s="1"/>
  <c r="K69" i="4"/>
  <c r="K75" i="4" s="1"/>
  <c r="J69" i="4"/>
  <c r="J76" i="4" s="1"/>
  <c r="I69" i="4"/>
  <c r="I75" i="4" s="1"/>
  <c r="H69" i="4"/>
  <c r="H75" i="4" s="1"/>
  <c r="G69" i="4"/>
  <c r="G75" i="4" s="1"/>
  <c r="F69" i="4"/>
  <c r="F76" i="4" s="1"/>
  <c r="E69" i="4"/>
  <c r="E75" i="4" s="1"/>
  <c r="D69" i="4"/>
  <c r="D75" i="4" s="1"/>
  <c r="C69" i="4"/>
  <c r="C75" i="4" s="1"/>
  <c r="O68" i="4"/>
  <c r="O67" i="4"/>
  <c r="O66" i="4"/>
  <c r="N63" i="4"/>
  <c r="O60" i="4"/>
  <c r="N59" i="4"/>
  <c r="M59" i="4"/>
  <c r="L59" i="4"/>
  <c r="K59" i="4"/>
  <c r="J59" i="4"/>
  <c r="I59" i="4"/>
  <c r="H59" i="4"/>
  <c r="G59" i="4"/>
  <c r="F59" i="4"/>
  <c r="E59" i="4"/>
  <c r="D59" i="4"/>
  <c r="C59" i="4"/>
  <c r="O57" i="4"/>
  <c r="O56" i="4"/>
  <c r="N55" i="4"/>
  <c r="N58" i="4" s="1"/>
  <c r="M55" i="4"/>
  <c r="M58" i="4" s="1"/>
  <c r="L55" i="4"/>
  <c r="L58" i="4" s="1"/>
  <c r="K55" i="4"/>
  <c r="K58" i="4" s="1"/>
  <c r="J55" i="4"/>
  <c r="J58" i="4" s="1"/>
  <c r="I55" i="4"/>
  <c r="I58" i="4" s="1"/>
  <c r="H55" i="4"/>
  <c r="H58" i="4" s="1"/>
  <c r="G55" i="4"/>
  <c r="G58" i="4" s="1"/>
  <c r="F55" i="4"/>
  <c r="F58" i="4" s="1"/>
  <c r="E55" i="4"/>
  <c r="E58" i="4" s="1"/>
  <c r="D55" i="4"/>
  <c r="D58" i="4" s="1"/>
  <c r="C55" i="4"/>
  <c r="C58" i="4" s="1"/>
  <c r="N52" i="4"/>
  <c r="M52" i="4"/>
  <c r="L52" i="4"/>
  <c r="K52" i="4"/>
  <c r="J52" i="4"/>
  <c r="I52" i="4"/>
  <c r="H52" i="4"/>
  <c r="G52" i="4"/>
  <c r="F52" i="4"/>
  <c r="E52" i="4"/>
  <c r="D52" i="4"/>
  <c r="C52" i="4"/>
  <c r="N51" i="4"/>
  <c r="M51" i="4"/>
  <c r="L51" i="4"/>
  <c r="K51" i="4"/>
  <c r="J51" i="4"/>
  <c r="I51" i="4"/>
  <c r="H51" i="4"/>
  <c r="G51" i="4"/>
  <c r="F51" i="4"/>
  <c r="E51" i="4"/>
  <c r="D51" i="4"/>
  <c r="C51" i="4"/>
  <c r="O50" i="4"/>
  <c r="O49" i="4"/>
  <c r="O48" i="4"/>
  <c r="N47" i="4"/>
  <c r="N54" i="4" s="1"/>
  <c r="M47" i="4"/>
  <c r="M53" i="4" s="1"/>
  <c r="L47" i="4"/>
  <c r="L54" i="4" s="1"/>
  <c r="K47" i="4"/>
  <c r="K54" i="4" s="1"/>
  <c r="J47" i="4"/>
  <c r="J54" i="4" s="1"/>
  <c r="I47" i="4"/>
  <c r="I53" i="4" s="1"/>
  <c r="H47" i="4"/>
  <c r="H54" i="4" s="1"/>
  <c r="G47" i="4"/>
  <c r="G54" i="4" s="1"/>
  <c r="F47" i="4"/>
  <c r="F53" i="4" s="1"/>
  <c r="E47" i="4"/>
  <c r="E53" i="4" s="1"/>
  <c r="D47" i="4"/>
  <c r="D54" i="4" s="1"/>
  <c r="C47" i="4"/>
  <c r="C54" i="4" s="1"/>
  <c r="O46" i="4"/>
  <c r="O45" i="4"/>
  <c r="O44" i="4"/>
  <c r="N41" i="4"/>
  <c r="N35" i="4"/>
  <c r="M35" i="4"/>
  <c r="L35" i="4"/>
  <c r="K35" i="4"/>
  <c r="J35" i="4"/>
  <c r="I35" i="4"/>
  <c r="H35" i="4"/>
  <c r="G35" i="4"/>
  <c r="F35" i="4"/>
  <c r="E35" i="4"/>
  <c r="D35" i="4"/>
  <c r="C35" i="4"/>
  <c r="N34" i="4"/>
  <c r="M34" i="4"/>
  <c r="L34" i="4"/>
  <c r="K34" i="4"/>
  <c r="J34" i="4"/>
  <c r="I34" i="4"/>
  <c r="H34" i="4"/>
  <c r="G34" i="4"/>
  <c r="F34" i="4"/>
  <c r="E34" i="4"/>
  <c r="D34" i="4"/>
  <c r="C34" i="4"/>
  <c r="N33" i="4"/>
  <c r="M33" i="4"/>
  <c r="L33" i="4"/>
  <c r="K33" i="4"/>
  <c r="J33" i="4"/>
  <c r="I33" i="4"/>
  <c r="H33" i="4"/>
  <c r="G33" i="4"/>
  <c r="F33" i="4"/>
  <c r="E33" i="4"/>
  <c r="D33" i="4"/>
  <c r="C33" i="4"/>
  <c r="N32" i="4"/>
  <c r="M32" i="4"/>
  <c r="L32" i="4"/>
  <c r="K32" i="4"/>
  <c r="J32" i="4"/>
  <c r="I32" i="4"/>
  <c r="H32" i="4"/>
  <c r="G32" i="4"/>
  <c r="F32" i="4"/>
  <c r="E32" i="4"/>
  <c r="D32" i="4"/>
  <c r="C32" i="4"/>
  <c r="N31" i="4"/>
  <c r="M31" i="4"/>
  <c r="L31" i="4"/>
  <c r="K31" i="4"/>
  <c r="J31" i="4"/>
  <c r="I31" i="4"/>
  <c r="H31" i="4"/>
  <c r="G31" i="4"/>
  <c r="F31" i="4"/>
  <c r="E31" i="4"/>
  <c r="D31" i="4"/>
  <c r="C31" i="4"/>
  <c r="N30" i="4"/>
  <c r="M30" i="4"/>
  <c r="L30" i="4"/>
  <c r="K30" i="4"/>
  <c r="J30" i="4"/>
  <c r="I30" i="4"/>
  <c r="H30" i="4"/>
  <c r="G30" i="4"/>
  <c r="F30" i="4"/>
  <c r="E30" i="4"/>
  <c r="D30" i="4"/>
  <c r="C30" i="4"/>
  <c r="N29" i="4"/>
  <c r="M29" i="4"/>
  <c r="L29" i="4"/>
  <c r="K29" i="4"/>
  <c r="J29" i="4"/>
  <c r="I29" i="4"/>
  <c r="H29" i="4"/>
  <c r="G29" i="4"/>
  <c r="F29" i="4"/>
  <c r="E29" i="4"/>
  <c r="D29" i="4"/>
  <c r="C29" i="4"/>
  <c r="N28" i="4"/>
  <c r="M28" i="4"/>
  <c r="L28" i="4"/>
  <c r="K28" i="4"/>
  <c r="J28" i="4"/>
  <c r="I28" i="4"/>
  <c r="H28" i="4"/>
  <c r="G28" i="4"/>
  <c r="F28" i="4"/>
  <c r="E28" i="4"/>
  <c r="D28" i="4"/>
  <c r="C28" i="4"/>
  <c r="N27" i="4"/>
  <c r="M27" i="4"/>
  <c r="L27" i="4"/>
  <c r="K27" i="4"/>
  <c r="J27" i="4"/>
  <c r="I27" i="4"/>
  <c r="H27" i="4"/>
  <c r="G27" i="4"/>
  <c r="F27" i="4"/>
  <c r="E27" i="4"/>
  <c r="D27" i="4"/>
  <c r="C27" i="4"/>
  <c r="N26" i="4"/>
  <c r="M26" i="4"/>
  <c r="L26" i="4"/>
  <c r="K26" i="4"/>
  <c r="J26" i="4"/>
  <c r="I26" i="4"/>
  <c r="H26" i="4"/>
  <c r="G26" i="4"/>
  <c r="F26" i="4"/>
  <c r="E26" i="4"/>
  <c r="D26" i="4"/>
  <c r="C26" i="4"/>
  <c r="N25" i="4"/>
  <c r="M25" i="4"/>
  <c r="L25" i="4"/>
  <c r="K25" i="4"/>
  <c r="J25" i="4"/>
  <c r="I25" i="4"/>
  <c r="H25" i="4"/>
  <c r="G25" i="4"/>
  <c r="F25" i="4"/>
  <c r="E25" i="4"/>
  <c r="D25" i="4"/>
  <c r="C25" i="4"/>
  <c r="N24" i="4"/>
  <c r="M24" i="4"/>
  <c r="L24" i="4"/>
  <c r="K24" i="4"/>
  <c r="J24" i="4"/>
  <c r="I24" i="4"/>
  <c r="H24" i="4"/>
  <c r="G24" i="4"/>
  <c r="F24" i="4"/>
  <c r="E24" i="4"/>
  <c r="D24" i="4"/>
  <c r="C24" i="4"/>
  <c r="N23" i="4"/>
  <c r="M23" i="4"/>
  <c r="L23" i="4"/>
  <c r="K23" i="4"/>
  <c r="J23" i="4"/>
  <c r="I23" i="4"/>
  <c r="H23" i="4"/>
  <c r="G23" i="4"/>
  <c r="F23" i="4"/>
  <c r="E23" i="4"/>
  <c r="D23" i="4"/>
  <c r="C23" i="4"/>
  <c r="M21" i="4"/>
  <c r="L21" i="4"/>
  <c r="K21" i="4"/>
  <c r="I21" i="4"/>
  <c r="H21" i="4"/>
  <c r="G21" i="4"/>
  <c r="E21" i="4"/>
  <c r="D21" i="4"/>
  <c r="C21" i="4"/>
  <c r="M18" i="4"/>
  <c r="L18" i="4"/>
  <c r="K18" i="4"/>
  <c r="I18" i="4"/>
  <c r="H18" i="4"/>
  <c r="G18" i="4"/>
  <c r="E18" i="4"/>
  <c r="D18" i="4"/>
  <c r="C18" i="4"/>
  <c r="N17" i="4"/>
  <c r="M17" i="4"/>
  <c r="M16" i="4" s="1"/>
  <c r="L17" i="4"/>
  <c r="K17" i="4"/>
  <c r="J17" i="4"/>
  <c r="I17" i="4"/>
  <c r="I16" i="4" s="1"/>
  <c r="H17" i="4"/>
  <c r="G17" i="4"/>
  <c r="F17" i="4"/>
  <c r="E17" i="4"/>
  <c r="E16" i="4" s="1"/>
  <c r="D17" i="4"/>
  <c r="D16" i="4" s="1"/>
  <c r="C17" i="4"/>
  <c r="N11" i="4"/>
  <c r="M11" i="4"/>
  <c r="K11" i="4"/>
  <c r="J11" i="4"/>
  <c r="G11" i="4"/>
  <c r="F11" i="4"/>
  <c r="E11" i="4"/>
  <c r="C11" i="4"/>
  <c r="N10" i="4"/>
  <c r="L10" i="4"/>
  <c r="K10" i="4"/>
  <c r="J10" i="4"/>
  <c r="H10" i="4"/>
  <c r="G10" i="4"/>
  <c r="F10" i="4"/>
  <c r="D10" i="4"/>
  <c r="C10" i="4"/>
  <c r="M9" i="4"/>
  <c r="L9" i="4"/>
  <c r="K9" i="4"/>
  <c r="I9" i="4"/>
  <c r="H9" i="4"/>
  <c r="G9" i="4"/>
  <c r="D9" i="4"/>
  <c r="C9" i="4"/>
  <c r="N7" i="4"/>
  <c r="L7" i="4"/>
  <c r="K7" i="4"/>
  <c r="J7" i="4"/>
  <c r="H7" i="4"/>
  <c r="H22" i="4" s="1"/>
  <c r="G7" i="4"/>
  <c r="F7" i="4"/>
  <c r="D7" i="4"/>
  <c r="D20" i="4" s="1"/>
  <c r="C7" i="4"/>
  <c r="C22" i="4" s="1"/>
  <c r="N6" i="4"/>
  <c r="L6" i="4"/>
  <c r="K6" i="4"/>
  <c r="J6" i="4"/>
  <c r="H6" i="4"/>
  <c r="G6" i="4"/>
  <c r="F6" i="4"/>
  <c r="D6" i="4"/>
  <c r="C6" i="4"/>
  <c r="M5" i="4"/>
  <c r="M8" i="4" s="1"/>
  <c r="L5" i="4"/>
  <c r="L8" i="4" s="1"/>
  <c r="K5" i="4"/>
  <c r="K8" i="4" s="1"/>
  <c r="H5" i="4"/>
  <c r="H8" i="4" s="1"/>
  <c r="G5" i="4"/>
  <c r="G8" i="4" s="1"/>
  <c r="E5" i="4"/>
  <c r="E8" i="4" s="1"/>
  <c r="D5" i="4"/>
  <c r="C5" i="4"/>
  <c r="N2" i="4"/>
  <c r="G16" i="4" l="1"/>
  <c r="K16" i="4"/>
  <c r="H16" i="4"/>
  <c r="L16" i="4"/>
  <c r="L19" i="4" s="1"/>
  <c r="I5" i="4"/>
  <c r="I8" i="4" s="1"/>
  <c r="I15" i="4" s="1"/>
  <c r="K22" i="4"/>
  <c r="G22" i="4"/>
  <c r="L22" i="4"/>
  <c r="O186" i="4"/>
  <c r="G97" i="4"/>
  <c r="D76" i="4"/>
  <c r="E93" i="4"/>
  <c r="D188" i="4"/>
  <c r="H208" i="4"/>
  <c r="M54" i="4"/>
  <c r="O134" i="4"/>
  <c r="L189" i="4"/>
  <c r="N96" i="4"/>
  <c r="D228" i="4"/>
  <c r="L229" i="4"/>
  <c r="F22" i="4"/>
  <c r="N22" i="4"/>
  <c r="O73" i="4"/>
  <c r="E97" i="4"/>
  <c r="H189" i="4"/>
  <c r="D208" i="4"/>
  <c r="L209" i="4"/>
  <c r="H228" i="4"/>
  <c r="N115" i="4"/>
  <c r="O25" i="4"/>
  <c r="O26" i="4"/>
  <c r="O27" i="4"/>
  <c r="O28" i="4"/>
  <c r="O30" i="4"/>
  <c r="O31" i="4"/>
  <c r="O32" i="4"/>
  <c r="O33" i="4"/>
  <c r="O34" i="4"/>
  <c r="O35" i="4"/>
  <c r="L76" i="4"/>
  <c r="O153" i="4"/>
  <c r="J22" i="4"/>
  <c r="O91" i="4"/>
  <c r="O92" i="4"/>
  <c r="G96" i="4"/>
  <c r="K96" i="4"/>
  <c r="D13" i="4"/>
  <c r="O6" i="4"/>
  <c r="G15" i="4"/>
  <c r="M15" i="4"/>
  <c r="J53" i="4"/>
  <c r="N75" i="4"/>
  <c r="M97" i="4"/>
  <c r="F97" i="4"/>
  <c r="O113" i="4"/>
  <c r="F115" i="4"/>
  <c r="O133" i="4"/>
  <c r="J135" i="4"/>
  <c r="O23" i="4"/>
  <c r="O24" i="4"/>
  <c r="L12" i="4"/>
  <c r="F75" i="4"/>
  <c r="E94" i="4"/>
  <c r="M93" i="4"/>
  <c r="O98" i="4"/>
  <c r="K97" i="4"/>
  <c r="O117" i="4"/>
  <c r="O206" i="4"/>
  <c r="O226" i="4"/>
  <c r="H19" i="4"/>
  <c r="L13" i="4"/>
  <c r="E20" i="4"/>
  <c r="I20" i="4"/>
  <c r="M20" i="4"/>
  <c r="E15" i="4"/>
  <c r="D12" i="4"/>
  <c r="F16" i="4"/>
  <c r="F19" i="4" s="1"/>
  <c r="J16" i="4"/>
  <c r="J19" i="4" s="1"/>
  <c r="N16" i="4"/>
  <c r="N19" i="4" s="1"/>
  <c r="O21" i="4"/>
  <c r="D22" i="4"/>
  <c r="E76" i="4"/>
  <c r="O77" i="4"/>
  <c r="I93" i="4"/>
  <c r="O114" i="4"/>
  <c r="J115" i="4"/>
  <c r="I116" i="4"/>
  <c r="E135" i="4"/>
  <c r="M135" i="4"/>
  <c r="O149" i="4"/>
  <c r="O156" i="4" s="1"/>
  <c r="F155" i="4"/>
  <c r="N155" i="4"/>
  <c r="O157" i="4"/>
  <c r="H20" i="4"/>
  <c r="L20" i="4"/>
  <c r="C13" i="4"/>
  <c r="H13" i="4"/>
  <c r="H12" i="4"/>
  <c r="O17" i="4"/>
  <c r="O18" i="4"/>
  <c r="G53" i="4"/>
  <c r="E54" i="4"/>
  <c r="O74" i="4"/>
  <c r="M75" i="4"/>
  <c r="I76" i="4"/>
  <c r="O87" i="4"/>
  <c r="C94" i="4"/>
  <c r="G94" i="4"/>
  <c r="K94" i="4"/>
  <c r="N93" i="4"/>
  <c r="M94" i="4"/>
  <c r="E115" i="4"/>
  <c r="M115" i="4"/>
  <c r="F135" i="4"/>
  <c r="N135" i="4"/>
  <c r="O137" i="4"/>
  <c r="O154" i="4"/>
  <c r="I155" i="4"/>
  <c r="E156" i="4"/>
  <c r="E188" i="4"/>
  <c r="M188" i="4"/>
  <c r="O190" i="4"/>
  <c r="E208" i="4"/>
  <c r="M208" i="4"/>
  <c r="O210" i="4"/>
  <c r="E228" i="4"/>
  <c r="M228" i="4"/>
  <c r="O230" i="4"/>
  <c r="O29" i="4"/>
  <c r="D94" i="4"/>
  <c r="L95" i="4"/>
  <c r="C96" i="4"/>
  <c r="I135" i="4"/>
  <c r="J155" i="4"/>
  <c r="D8" i="4"/>
  <c r="D19" i="4"/>
  <c r="K53" i="4"/>
  <c r="D96" i="4"/>
  <c r="H15" i="4"/>
  <c r="L96" i="4"/>
  <c r="C97" i="4"/>
  <c r="D97" i="4"/>
  <c r="H97" i="4"/>
  <c r="L97" i="4"/>
  <c r="M155" i="4"/>
  <c r="I188" i="4"/>
  <c r="I208" i="4"/>
  <c r="I228" i="4"/>
  <c r="H14" i="4"/>
  <c r="O10" i="4"/>
  <c r="K15" i="4"/>
  <c r="K13" i="4"/>
  <c r="I19" i="4"/>
  <c r="J12" i="4"/>
  <c r="I13" i="4"/>
  <c r="K19" i="4"/>
  <c r="J20" i="4"/>
  <c r="O52" i="4"/>
  <c r="L53" i="4"/>
  <c r="G76" i="4"/>
  <c r="J89" i="4"/>
  <c r="J96" i="4" s="1"/>
  <c r="I96" i="4"/>
  <c r="H94" i="4"/>
  <c r="H96" i="4"/>
  <c r="G13" i="4"/>
  <c r="M19" i="4"/>
  <c r="O7" i="4"/>
  <c r="F12" i="4"/>
  <c r="E13" i="4"/>
  <c r="M13" i="4"/>
  <c r="G19" i="4"/>
  <c r="F20" i="4"/>
  <c r="N20" i="4"/>
  <c r="O59" i="4"/>
  <c r="O51" i="4"/>
  <c r="E96" i="4"/>
  <c r="M96" i="4"/>
  <c r="J93" i="4"/>
  <c r="K95" i="4"/>
  <c r="F5" i="4"/>
  <c r="F8" i="4" s="1"/>
  <c r="F14" i="4" s="1"/>
  <c r="J5" i="4"/>
  <c r="J8" i="4" s="1"/>
  <c r="J14" i="4" s="1"/>
  <c r="N5" i="4"/>
  <c r="N8" i="4" s="1"/>
  <c r="N14" i="4" s="1"/>
  <c r="C8" i="4"/>
  <c r="C14" i="4" s="1"/>
  <c r="N9" i="4"/>
  <c r="O9" i="4" s="1"/>
  <c r="D11" i="4"/>
  <c r="L11" i="4"/>
  <c r="L15" i="4" s="1"/>
  <c r="C12" i="4"/>
  <c r="G12" i="4"/>
  <c r="K12" i="4"/>
  <c r="E14" i="4"/>
  <c r="I14" i="4"/>
  <c r="M14" i="4"/>
  <c r="C16" i="4"/>
  <c r="C20" i="4"/>
  <c r="G20" i="4"/>
  <c r="K20" i="4"/>
  <c r="E22" i="4"/>
  <c r="I22" i="4"/>
  <c r="M22" i="4"/>
  <c r="O47" i="4"/>
  <c r="C53" i="4"/>
  <c r="H53" i="4"/>
  <c r="N53" i="4"/>
  <c r="F54" i="4"/>
  <c r="O55" i="4"/>
  <c r="O58" i="4" s="1"/>
  <c r="J75" i="4"/>
  <c r="C76" i="4"/>
  <c r="H76" i="4"/>
  <c r="O86" i="4"/>
  <c r="N95" i="4"/>
  <c r="F89" i="4"/>
  <c r="F96" i="4" s="1"/>
  <c r="O90" i="4"/>
  <c r="F93" i="4"/>
  <c r="K93" i="4"/>
  <c r="I94" i="4"/>
  <c r="N94" i="4"/>
  <c r="G95" i="4"/>
  <c r="J97" i="4"/>
  <c r="N97" i="4"/>
  <c r="O100" i="4"/>
  <c r="O109" i="4"/>
  <c r="O115" i="4" s="1"/>
  <c r="O129" i="4"/>
  <c r="O135" i="4" s="1"/>
  <c r="E19" i="4"/>
  <c r="D53" i="4"/>
  <c r="O69" i="4"/>
  <c r="O76" i="4" s="1"/>
  <c r="O88" i="4"/>
  <c r="G93" i="4"/>
  <c r="C95" i="4"/>
  <c r="O99" i="4"/>
  <c r="D116" i="4"/>
  <c r="D115" i="4"/>
  <c r="H116" i="4"/>
  <c r="H115" i="4"/>
  <c r="L116" i="4"/>
  <c r="L115" i="4"/>
  <c r="D136" i="4"/>
  <c r="D135" i="4"/>
  <c r="H136" i="4"/>
  <c r="H135" i="4"/>
  <c r="L136" i="4"/>
  <c r="L135" i="4"/>
  <c r="E12" i="4"/>
  <c r="I12" i="4"/>
  <c r="M12" i="4"/>
  <c r="G14" i="4"/>
  <c r="K14" i="4"/>
  <c r="I54" i="4"/>
  <c r="K76" i="4"/>
  <c r="D93" i="4"/>
  <c r="H93" i="4"/>
  <c r="L93" i="4"/>
  <c r="C93" i="4"/>
  <c r="L94" i="4"/>
  <c r="D95" i="4"/>
  <c r="O182" i="4"/>
  <c r="O189" i="4" s="1"/>
  <c r="O202" i="4"/>
  <c r="O209" i="4" s="1"/>
  <c r="O222" i="4"/>
  <c r="O229" i="4" s="1"/>
  <c r="C115" i="4"/>
  <c r="G115" i="4"/>
  <c r="K115" i="4"/>
  <c r="C135" i="4"/>
  <c r="G135" i="4"/>
  <c r="K135" i="4"/>
  <c r="C155" i="4"/>
  <c r="G155" i="4"/>
  <c r="K155" i="4"/>
  <c r="O155" i="4"/>
  <c r="O187" i="4"/>
  <c r="F188" i="4"/>
  <c r="J188" i="4"/>
  <c r="N188" i="4"/>
  <c r="O207" i="4"/>
  <c r="F208" i="4"/>
  <c r="J208" i="4"/>
  <c r="N208" i="4"/>
  <c r="O227" i="4"/>
  <c r="F228" i="4"/>
  <c r="J228" i="4"/>
  <c r="N228" i="4"/>
  <c r="C116" i="4"/>
  <c r="C136" i="4"/>
  <c r="D155" i="4"/>
  <c r="H155" i="4"/>
  <c r="L155" i="4"/>
  <c r="C156" i="4"/>
  <c r="C188" i="4"/>
  <c r="G188" i="4"/>
  <c r="K188" i="4"/>
  <c r="C208" i="4"/>
  <c r="G208" i="4"/>
  <c r="K208" i="4"/>
  <c r="C228" i="4"/>
  <c r="G228" i="4"/>
  <c r="K228" i="4"/>
  <c r="O16" i="4" l="1"/>
  <c r="D14" i="4"/>
  <c r="J13" i="4"/>
  <c r="O208" i="4"/>
  <c r="O116" i="4"/>
  <c r="O228" i="4"/>
  <c r="D15" i="4"/>
  <c r="O11" i="4"/>
  <c r="N13" i="4"/>
  <c r="N15" i="4"/>
  <c r="O97" i="4"/>
  <c r="J15" i="4"/>
  <c r="O136" i="4"/>
  <c r="O5" i="4"/>
  <c r="O13" i="4" s="1"/>
  <c r="F95" i="4"/>
  <c r="O94" i="4"/>
  <c r="O93" i="4"/>
  <c r="N12" i="4"/>
  <c r="O89" i="4"/>
  <c r="O96" i="4" s="1"/>
  <c r="J95" i="4"/>
  <c r="O8" i="4"/>
  <c r="F13" i="4"/>
  <c r="O22" i="4"/>
  <c r="O20" i="4"/>
  <c r="O12" i="4"/>
  <c r="O19" i="4"/>
  <c r="C19" i="4"/>
  <c r="L14" i="4"/>
  <c r="O188" i="4"/>
  <c r="O75" i="4"/>
  <c r="C15" i="4"/>
  <c r="F15" i="4"/>
  <c r="O53" i="4"/>
  <c r="O54" i="4"/>
  <c r="O14" i="4" l="1"/>
  <c r="O15" i="4"/>
  <c r="O95" i="4"/>
  <c r="O253" i="2" l="1"/>
  <c r="O252" i="2"/>
  <c r="O251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O243" i="2"/>
  <c r="O242" i="2"/>
  <c r="O241" i="2"/>
  <c r="N240" i="2"/>
  <c r="N248" i="2" s="1"/>
  <c r="M240" i="2"/>
  <c r="M246" i="2" s="1"/>
  <c r="L240" i="2"/>
  <c r="K240" i="2"/>
  <c r="K248" i="2" s="1"/>
  <c r="J240" i="2"/>
  <c r="J248" i="2" s="1"/>
  <c r="I240" i="2"/>
  <c r="I246" i="2" s="1"/>
  <c r="H240" i="2"/>
  <c r="H248" i="2" s="1"/>
  <c r="G240" i="2"/>
  <c r="G248" i="2" s="1"/>
  <c r="F240" i="2"/>
  <c r="F248" i="2" s="1"/>
  <c r="E240" i="2"/>
  <c r="E246" i="2" s="1"/>
  <c r="D240" i="2"/>
  <c r="D248" i="2" s="1"/>
  <c r="C240" i="2"/>
  <c r="C248" i="2" s="1"/>
  <c r="O239" i="2"/>
  <c r="O238" i="2"/>
  <c r="O237" i="2"/>
  <c r="N234" i="2"/>
  <c r="O231" i="2"/>
  <c r="O230" i="2"/>
  <c r="O229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O221" i="2"/>
  <c r="O220" i="2"/>
  <c r="O219" i="2"/>
  <c r="N218" i="2"/>
  <c r="M218" i="2"/>
  <c r="M226" i="2" s="1"/>
  <c r="L218" i="2"/>
  <c r="L226" i="2" s="1"/>
  <c r="K218" i="2"/>
  <c r="K224" i="2" s="1"/>
  <c r="J218" i="2"/>
  <c r="I218" i="2"/>
  <c r="I226" i="2" s="1"/>
  <c r="H218" i="2"/>
  <c r="H226" i="2" s="1"/>
  <c r="G218" i="2"/>
  <c r="G224" i="2" s="1"/>
  <c r="F218" i="2"/>
  <c r="E218" i="2"/>
  <c r="E226" i="2" s="1"/>
  <c r="D218" i="2"/>
  <c r="D226" i="2" s="1"/>
  <c r="C218" i="2"/>
  <c r="C224" i="2" s="1"/>
  <c r="O217" i="2"/>
  <c r="O216" i="2"/>
  <c r="O215" i="2"/>
  <c r="N212" i="2"/>
  <c r="O209" i="2"/>
  <c r="O208" i="2"/>
  <c r="O207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O199" i="2"/>
  <c r="O198" i="2"/>
  <c r="O197" i="2"/>
  <c r="N196" i="2"/>
  <c r="N204" i="2" s="1"/>
  <c r="M196" i="2"/>
  <c r="M202" i="2" s="1"/>
  <c r="L196" i="2"/>
  <c r="K196" i="2"/>
  <c r="K204" i="2" s="1"/>
  <c r="J196" i="2"/>
  <c r="J204" i="2" s="1"/>
  <c r="I196" i="2"/>
  <c r="I205" i="2" s="1"/>
  <c r="H196" i="2"/>
  <c r="G196" i="2"/>
  <c r="G204" i="2" s="1"/>
  <c r="F196" i="2"/>
  <c r="F204" i="2" s="1"/>
  <c r="E196" i="2"/>
  <c r="E205" i="2" s="1"/>
  <c r="D196" i="2"/>
  <c r="C196" i="2"/>
  <c r="C204" i="2" s="1"/>
  <c r="O195" i="2"/>
  <c r="O194" i="2"/>
  <c r="O193" i="2"/>
  <c r="N190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O164" i="2"/>
  <c r="O163" i="2"/>
  <c r="O162" i="2"/>
  <c r="N161" i="2"/>
  <c r="N167" i="2" s="1"/>
  <c r="M161" i="2"/>
  <c r="M169" i="2" s="1"/>
  <c r="L161" i="2"/>
  <c r="L167" i="2" s="1"/>
  <c r="K161" i="2"/>
  <c r="J161" i="2"/>
  <c r="J167" i="2" s="1"/>
  <c r="I161" i="2"/>
  <c r="I169" i="2" s="1"/>
  <c r="H161" i="2"/>
  <c r="G161" i="2"/>
  <c r="F161" i="2"/>
  <c r="F169" i="2" s="1"/>
  <c r="E161" i="2"/>
  <c r="E169" i="2" s="1"/>
  <c r="D161" i="2"/>
  <c r="D167" i="2" s="1"/>
  <c r="C161" i="2"/>
  <c r="O160" i="2"/>
  <c r="O159" i="2"/>
  <c r="O158" i="2"/>
  <c r="N155" i="2"/>
  <c r="O152" i="2"/>
  <c r="O151" i="2"/>
  <c r="O150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O142" i="2"/>
  <c r="O141" i="2"/>
  <c r="O140" i="2"/>
  <c r="N139" i="2"/>
  <c r="N148" i="2" s="1"/>
  <c r="M139" i="2"/>
  <c r="M145" i="2" s="1"/>
  <c r="L139" i="2"/>
  <c r="L147" i="2" s="1"/>
  <c r="K139" i="2"/>
  <c r="K147" i="2" s="1"/>
  <c r="J139" i="2"/>
  <c r="J148" i="2" s="1"/>
  <c r="I139" i="2"/>
  <c r="I145" i="2" s="1"/>
  <c r="H139" i="2"/>
  <c r="H148" i="2" s="1"/>
  <c r="G139" i="2"/>
  <c r="G147" i="2" s="1"/>
  <c r="F139" i="2"/>
  <c r="F148" i="2" s="1"/>
  <c r="E139" i="2"/>
  <c r="E145" i="2" s="1"/>
  <c r="D139" i="2"/>
  <c r="D148" i="2" s="1"/>
  <c r="C139" i="2"/>
  <c r="C147" i="2" s="1"/>
  <c r="O138" i="2"/>
  <c r="O137" i="2"/>
  <c r="O136" i="2"/>
  <c r="N133" i="2"/>
  <c r="O130" i="2"/>
  <c r="O129" i="2"/>
  <c r="O128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O120" i="2"/>
  <c r="O119" i="2"/>
  <c r="O118" i="2"/>
  <c r="N117" i="2"/>
  <c r="N126" i="2" s="1"/>
  <c r="M117" i="2"/>
  <c r="M125" i="2" s="1"/>
  <c r="L117" i="2"/>
  <c r="K117" i="2"/>
  <c r="K123" i="2" s="1"/>
  <c r="J117" i="2"/>
  <c r="J126" i="2" s="1"/>
  <c r="I117" i="2"/>
  <c r="I125" i="2" s="1"/>
  <c r="H117" i="2"/>
  <c r="H123" i="2" s="1"/>
  <c r="G117" i="2"/>
  <c r="G123" i="2" s="1"/>
  <c r="F117" i="2"/>
  <c r="F125" i="2" s="1"/>
  <c r="E117" i="2"/>
  <c r="E125" i="2" s="1"/>
  <c r="D117" i="2"/>
  <c r="C117" i="2"/>
  <c r="C123" i="2" s="1"/>
  <c r="O116" i="2"/>
  <c r="O115" i="2"/>
  <c r="O114" i="2"/>
  <c r="N111" i="2"/>
  <c r="N108" i="2"/>
  <c r="N23" i="2" s="1"/>
  <c r="M108" i="2"/>
  <c r="M23" i="2" s="1"/>
  <c r="L108" i="2"/>
  <c r="L23" i="2" s="1"/>
  <c r="K108" i="2"/>
  <c r="J108" i="2"/>
  <c r="I108" i="2"/>
  <c r="I23" i="2" s="1"/>
  <c r="H108" i="2"/>
  <c r="H23" i="2" s="1"/>
  <c r="G108" i="2"/>
  <c r="F108" i="2"/>
  <c r="F23" i="2" s="1"/>
  <c r="E108" i="2"/>
  <c r="E23" i="2" s="1"/>
  <c r="D108" i="2"/>
  <c r="D23" i="2" s="1"/>
  <c r="C108" i="2"/>
  <c r="N107" i="2"/>
  <c r="M107" i="2"/>
  <c r="M20" i="2" s="1"/>
  <c r="L107" i="2"/>
  <c r="L20" i="2" s="1"/>
  <c r="K107" i="2"/>
  <c r="J107" i="2"/>
  <c r="J20" i="2" s="1"/>
  <c r="I107" i="2"/>
  <c r="I20" i="2" s="1"/>
  <c r="H107" i="2"/>
  <c r="G107" i="2"/>
  <c r="F107" i="2"/>
  <c r="F20" i="2" s="1"/>
  <c r="E107" i="2"/>
  <c r="E20" i="2" s="1"/>
  <c r="D107" i="2"/>
  <c r="D20" i="2" s="1"/>
  <c r="C107" i="2"/>
  <c r="N106" i="2"/>
  <c r="N105" i="2" s="1"/>
  <c r="M106" i="2"/>
  <c r="L106" i="2"/>
  <c r="K106" i="2"/>
  <c r="K105" i="2" s="1"/>
  <c r="J106" i="2"/>
  <c r="J105" i="2" s="1"/>
  <c r="I106" i="2"/>
  <c r="H106" i="2"/>
  <c r="H105" i="2" s="1"/>
  <c r="G106" i="2"/>
  <c r="G105" i="2" s="1"/>
  <c r="F106" i="2"/>
  <c r="F105" i="2" s="1"/>
  <c r="E106" i="2"/>
  <c r="E19" i="2" s="1"/>
  <c r="D106" i="2"/>
  <c r="D105" i="2" s="1"/>
  <c r="C106" i="2"/>
  <c r="C105" i="2" s="1"/>
  <c r="N98" i="2"/>
  <c r="N11" i="2" s="1"/>
  <c r="M98" i="2"/>
  <c r="M11" i="2" s="1"/>
  <c r="L98" i="2"/>
  <c r="K98" i="2"/>
  <c r="J98" i="2"/>
  <c r="J11" i="2" s="1"/>
  <c r="I98" i="2"/>
  <c r="H98" i="2"/>
  <c r="G98" i="2"/>
  <c r="F98" i="2"/>
  <c r="F11" i="2" s="1"/>
  <c r="E98" i="2"/>
  <c r="D98" i="2"/>
  <c r="D11" i="2" s="1"/>
  <c r="C98" i="2"/>
  <c r="N97" i="2"/>
  <c r="N10" i="2" s="1"/>
  <c r="M97" i="2"/>
  <c r="L97" i="2"/>
  <c r="K97" i="2"/>
  <c r="J97" i="2"/>
  <c r="J10" i="2" s="1"/>
  <c r="I97" i="2"/>
  <c r="H97" i="2"/>
  <c r="G97" i="2"/>
  <c r="F97" i="2"/>
  <c r="F10" i="2" s="1"/>
  <c r="E97" i="2"/>
  <c r="D97" i="2"/>
  <c r="C97" i="2"/>
  <c r="N96" i="2"/>
  <c r="N9" i="2" s="1"/>
  <c r="M96" i="2"/>
  <c r="L96" i="2"/>
  <c r="L9" i="2" s="1"/>
  <c r="K96" i="2"/>
  <c r="J96" i="2"/>
  <c r="J9" i="2" s="1"/>
  <c r="I96" i="2"/>
  <c r="I9" i="2" s="1"/>
  <c r="H96" i="2"/>
  <c r="H9" i="2" s="1"/>
  <c r="G96" i="2"/>
  <c r="F96" i="2"/>
  <c r="F9" i="2" s="1"/>
  <c r="E96" i="2"/>
  <c r="D96" i="2"/>
  <c r="D9" i="2" s="1"/>
  <c r="C96" i="2"/>
  <c r="N95" i="2"/>
  <c r="M95" i="2"/>
  <c r="L95" i="2"/>
  <c r="K95" i="2"/>
  <c r="J95" i="2"/>
  <c r="I95" i="2"/>
  <c r="H95" i="2"/>
  <c r="G95" i="2"/>
  <c r="F95" i="2"/>
  <c r="F101" i="2" s="1"/>
  <c r="E95" i="2"/>
  <c r="E104" i="2" s="1"/>
  <c r="D95" i="2"/>
  <c r="D104" i="2" s="1"/>
  <c r="C95" i="2"/>
  <c r="N94" i="2"/>
  <c r="M94" i="2"/>
  <c r="L94" i="2"/>
  <c r="L102" i="2" s="1"/>
  <c r="K94" i="2"/>
  <c r="K102" i="2" s="1"/>
  <c r="J94" i="2"/>
  <c r="I94" i="2"/>
  <c r="I102" i="2" s="1"/>
  <c r="H94" i="2"/>
  <c r="H102" i="2" s="1"/>
  <c r="G94" i="2"/>
  <c r="F94" i="2"/>
  <c r="F99" i="2" s="1"/>
  <c r="E94" i="2"/>
  <c r="E102" i="2" s="1"/>
  <c r="D94" i="2"/>
  <c r="D102" i="2" s="1"/>
  <c r="C94" i="2"/>
  <c r="N93" i="2"/>
  <c r="N6" i="2" s="1"/>
  <c r="M93" i="2"/>
  <c r="M6" i="2" s="1"/>
  <c r="L93" i="2"/>
  <c r="K93" i="2"/>
  <c r="K6" i="2" s="1"/>
  <c r="J93" i="2"/>
  <c r="J6" i="2" s="1"/>
  <c r="I93" i="2"/>
  <c r="H93" i="2"/>
  <c r="G93" i="2"/>
  <c r="G6" i="2" s="1"/>
  <c r="F93" i="2"/>
  <c r="F6" i="2" s="1"/>
  <c r="E93" i="2"/>
  <c r="E6" i="2" s="1"/>
  <c r="D93" i="2"/>
  <c r="C93" i="2"/>
  <c r="C6" i="2" s="1"/>
  <c r="O92" i="2"/>
  <c r="O90" i="2"/>
  <c r="N89" i="2"/>
  <c r="O86" i="2"/>
  <c r="O85" i="2"/>
  <c r="O84" i="2"/>
  <c r="N83" i="2"/>
  <c r="M83" i="2"/>
  <c r="L83" i="2"/>
  <c r="K83" i="2"/>
  <c r="J83" i="2"/>
  <c r="I83" i="2"/>
  <c r="H83" i="2"/>
  <c r="G83" i="2"/>
  <c r="F83" i="2"/>
  <c r="E83" i="2"/>
  <c r="D83" i="2"/>
  <c r="C83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7" i="2"/>
  <c r="M77" i="2"/>
  <c r="L77" i="2"/>
  <c r="K77" i="2"/>
  <c r="J77" i="2"/>
  <c r="I77" i="2"/>
  <c r="H77" i="2"/>
  <c r="G77" i="2"/>
  <c r="F77" i="2"/>
  <c r="E77" i="2"/>
  <c r="D77" i="2"/>
  <c r="C77" i="2"/>
  <c r="O76" i="2"/>
  <c r="O75" i="2"/>
  <c r="O74" i="2"/>
  <c r="N73" i="2"/>
  <c r="N81" i="2" s="1"/>
  <c r="M73" i="2"/>
  <c r="L73" i="2"/>
  <c r="L79" i="2" s="1"/>
  <c r="K73" i="2"/>
  <c r="K81" i="2" s="1"/>
  <c r="J73" i="2"/>
  <c r="J81" i="2" s="1"/>
  <c r="I73" i="2"/>
  <c r="I81" i="2" s="1"/>
  <c r="H73" i="2"/>
  <c r="H79" i="2" s="1"/>
  <c r="G73" i="2"/>
  <c r="G81" i="2" s="1"/>
  <c r="F73" i="2"/>
  <c r="F81" i="2" s="1"/>
  <c r="E73" i="2"/>
  <c r="D73" i="2"/>
  <c r="D79" i="2" s="1"/>
  <c r="C73" i="2"/>
  <c r="C81" i="2" s="1"/>
  <c r="O72" i="2"/>
  <c r="O71" i="2"/>
  <c r="O70" i="2"/>
  <c r="N67" i="2"/>
  <c r="O64" i="2"/>
  <c r="N63" i="2"/>
  <c r="M63" i="2"/>
  <c r="L63" i="2"/>
  <c r="K63" i="2"/>
  <c r="J63" i="2"/>
  <c r="I63" i="2"/>
  <c r="H63" i="2"/>
  <c r="G63" i="2"/>
  <c r="F63" i="2"/>
  <c r="E63" i="2"/>
  <c r="D63" i="2"/>
  <c r="C63" i="2"/>
  <c r="O61" i="2"/>
  <c r="O60" i="2"/>
  <c r="N59" i="2"/>
  <c r="N62" i="2" s="1"/>
  <c r="M59" i="2"/>
  <c r="M62" i="2" s="1"/>
  <c r="L59" i="2"/>
  <c r="L62" i="2" s="1"/>
  <c r="K59" i="2"/>
  <c r="K62" i="2" s="1"/>
  <c r="J59" i="2"/>
  <c r="J62" i="2" s="1"/>
  <c r="I59" i="2"/>
  <c r="I62" i="2" s="1"/>
  <c r="H59" i="2"/>
  <c r="H62" i="2" s="1"/>
  <c r="G59" i="2"/>
  <c r="G62" i="2" s="1"/>
  <c r="F59" i="2"/>
  <c r="F62" i="2" s="1"/>
  <c r="E59" i="2"/>
  <c r="E62" i="2" s="1"/>
  <c r="D59" i="2"/>
  <c r="D62" i="2" s="1"/>
  <c r="C59" i="2"/>
  <c r="N56" i="2"/>
  <c r="M56" i="2"/>
  <c r="L56" i="2"/>
  <c r="K56" i="2"/>
  <c r="J56" i="2"/>
  <c r="I56" i="2"/>
  <c r="H56" i="2"/>
  <c r="G56" i="2"/>
  <c r="F56" i="2"/>
  <c r="E56" i="2"/>
  <c r="D56" i="2"/>
  <c r="C56" i="2"/>
  <c r="N54" i="2"/>
  <c r="M54" i="2"/>
  <c r="L54" i="2"/>
  <c r="K54" i="2"/>
  <c r="J54" i="2"/>
  <c r="I54" i="2"/>
  <c r="H54" i="2"/>
  <c r="G54" i="2"/>
  <c r="F54" i="2"/>
  <c r="E54" i="2"/>
  <c r="D54" i="2"/>
  <c r="C54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O51" i="2"/>
  <c r="O50" i="2"/>
  <c r="N49" i="2"/>
  <c r="N57" i="2" s="1"/>
  <c r="M49" i="2"/>
  <c r="M57" i="2" s="1"/>
  <c r="L49" i="2"/>
  <c r="L55" i="2" s="1"/>
  <c r="K49" i="2"/>
  <c r="K57" i="2" s="1"/>
  <c r="J49" i="2"/>
  <c r="J57" i="2" s="1"/>
  <c r="I49" i="2"/>
  <c r="H49" i="2"/>
  <c r="H55" i="2" s="1"/>
  <c r="G49" i="2"/>
  <c r="G57" i="2" s="1"/>
  <c r="F49" i="2"/>
  <c r="F57" i="2" s="1"/>
  <c r="E49" i="2"/>
  <c r="E57" i="2" s="1"/>
  <c r="D49" i="2"/>
  <c r="D55" i="2" s="1"/>
  <c r="C49" i="2"/>
  <c r="C57" i="2" s="1"/>
  <c r="O48" i="2"/>
  <c r="O63" i="2" s="1"/>
  <c r="O47" i="2"/>
  <c r="O46" i="2"/>
  <c r="N43" i="2"/>
  <c r="N37" i="2"/>
  <c r="M37" i="2"/>
  <c r="L37" i="2"/>
  <c r="K37" i="2"/>
  <c r="J37" i="2"/>
  <c r="I37" i="2"/>
  <c r="H37" i="2"/>
  <c r="G37" i="2"/>
  <c r="F37" i="2"/>
  <c r="E37" i="2"/>
  <c r="D37" i="2"/>
  <c r="C37" i="2"/>
  <c r="N36" i="2"/>
  <c r="M36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34" i="2"/>
  <c r="M34" i="2"/>
  <c r="L34" i="2"/>
  <c r="K34" i="2"/>
  <c r="J34" i="2"/>
  <c r="I34" i="2"/>
  <c r="H34" i="2"/>
  <c r="G34" i="2"/>
  <c r="F34" i="2"/>
  <c r="E34" i="2"/>
  <c r="D34" i="2"/>
  <c r="C34" i="2"/>
  <c r="N33" i="2"/>
  <c r="M33" i="2"/>
  <c r="L33" i="2"/>
  <c r="K33" i="2"/>
  <c r="J33" i="2"/>
  <c r="I33" i="2"/>
  <c r="H33" i="2"/>
  <c r="G33" i="2"/>
  <c r="F33" i="2"/>
  <c r="E33" i="2"/>
  <c r="D33" i="2"/>
  <c r="C33" i="2"/>
  <c r="N32" i="2"/>
  <c r="M32" i="2"/>
  <c r="L32" i="2"/>
  <c r="K32" i="2"/>
  <c r="J32" i="2"/>
  <c r="I32" i="2"/>
  <c r="H32" i="2"/>
  <c r="G32" i="2"/>
  <c r="F32" i="2"/>
  <c r="E32" i="2"/>
  <c r="D32" i="2"/>
  <c r="C32" i="2"/>
  <c r="N31" i="2"/>
  <c r="M31" i="2"/>
  <c r="L31" i="2"/>
  <c r="K31" i="2"/>
  <c r="J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N29" i="2"/>
  <c r="M29" i="2"/>
  <c r="L29" i="2"/>
  <c r="K29" i="2"/>
  <c r="J29" i="2"/>
  <c r="I29" i="2"/>
  <c r="H29" i="2"/>
  <c r="G29" i="2"/>
  <c r="F29" i="2"/>
  <c r="E29" i="2"/>
  <c r="D29" i="2"/>
  <c r="C29" i="2"/>
  <c r="N28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C25" i="2"/>
  <c r="K23" i="2"/>
  <c r="J23" i="2"/>
  <c r="G23" i="2"/>
  <c r="C23" i="2"/>
  <c r="N20" i="2"/>
  <c r="K20" i="2"/>
  <c r="H20" i="2"/>
  <c r="G20" i="2"/>
  <c r="C20" i="2"/>
  <c r="M19" i="2"/>
  <c r="L19" i="2"/>
  <c r="K19" i="2"/>
  <c r="I19" i="2"/>
  <c r="H19" i="2"/>
  <c r="G19" i="2"/>
  <c r="C19" i="2"/>
  <c r="L11" i="2"/>
  <c r="K11" i="2"/>
  <c r="I11" i="2"/>
  <c r="H11" i="2"/>
  <c r="G11" i="2"/>
  <c r="E11" i="2"/>
  <c r="C11" i="2"/>
  <c r="M10" i="2"/>
  <c r="L10" i="2"/>
  <c r="K10" i="2"/>
  <c r="I10" i="2"/>
  <c r="H10" i="2"/>
  <c r="G10" i="2"/>
  <c r="E10" i="2"/>
  <c r="D10" i="2"/>
  <c r="C10" i="2"/>
  <c r="M9" i="2"/>
  <c r="K9" i="2"/>
  <c r="G9" i="2"/>
  <c r="E9" i="2"/>
  <c r="C9" i="2"/>
  <c r="M7" i="2"/>
  <c r="L7" i="2"/>
  <c r="K7" i="2"/>
  <c r="H7" i="2"/>
  <c r="G7" i="2"/>
  <c r="D7" i="2"/>
  <c r="D12" i="2" s="1"/>
  <c r="C7" i="2"/>
  <c r="L6" i="2"/>
  <c r="I6" i="2"/>
  <c r="H6" i="2"/>
  <c r="D6" i="2"/>
  <c r="N5" i="2"/>
  <c r="N8" i="2" s="1"/>
  <c r="M5" i="2"/>
  <c r="M8" i="2" s="1"/>
  <c r="L5" i="2"/>
  <c r="L8" i="2" s="1"/>
  <c r="K5" i="2"/>
  <c r="K8" i="2" s="1"/>
  <c r="J5" i="2"/>
  <c r="J8" i="2" s="1"/>
  <c r="I5" i="2"/>
  <c r="I8" i="2" s="1"/>
  <c r="H5" i="2"/>
  <c r="H8" i="2" s="1"/>
  <c r="G5" i="2"/>
  <c r="G8" i="2" s="1"/>
  <c r="F5" i="2"/>
  <c r="F8" i="2" s="1"/>
  <c r="E5" i="2"/>
  <c r="E8" i="2" s="1"/>
  <c r="D5" i="2"/>
  <c r="D8" i="2" s="1"/>
  <c r="C5" i="2"/>
  <c r="C8" i="2" s="1"/>
  <c r="O3" i="2"/>
  <c r="N2" i="2"/>
  <c r="L18" i="2" l="1"/>
  <c r="O146" i="2"/>
  <c r="I202" i="2"/>
  <c r="D19" i="2"/>
  <c r="D22" i="2" s="1"/>
  <c r="E202" i="2"/>
  <c r="G14" i="2"/>
  <c r="D224" i="2"/>
  <c r="E7" i="2"/>
  <c r="E24" i="2" s="1"/>
  <c r="K18" i="2"/>
  <c r="K21" i="2" s="1"/>
  <c r="C14" i="2"/>
  <c r="I7" i="2"/>
  <c r="I12" i="2" s="1"/>
  <c r="C22" i="2"/>
  <c r="H18" i="2"/>
  <c r="H21" i="2" s="1"/>
  <c r="G18" i="2"/>
  <c r="G21" i="2" s="1"/>
  <c r="O77" i="2"/>
  <c r="N79" i="2"/>
  <c r="G101" i="2"/>
  <c r="N145" i="2"/>
  <c r="N14" i="2"/>
  <c r="C18" i="2"/>
  <c r="O59" i="2"/>
  <c r="O62" i="2" s="1"/>
  <c r="J82" i="2"/>
  <c r="I123" i="2"/>
  <c r="D18" i="2"/>
  <c r="D21" i="2" s="1"/>
  <c r="O23" i="2"/>
  <c r="C55" i="2"/>
  <c r="J79" i="2"/>
  <c r="K14" i="2"/>
  <c r="O26" i="2"/>
  <c r="J55" i="2"/>
  <c r="G58" i="2"/>
  <c r="L104" i="2"/>
  <c r="D103" i="2"/>
  <c r="E126" i="2"/>
  <c r="F145" i="2"/>
  <c r="J147" i="2"/>
  <c r="I167" i="2"/>
  <c r="D227" i="2"/>
  <c r="M22" i="2"/>
  <c r="E13" i="2"/>
  <c r="O10" i="2"/>
  <c r="K55" i="2"/>
  <c r="K58" i="2"/>
  <c r="F79" i="2"/>
  <c r="O83" i="2"/>
  <c r="H103" i="2"/>
  <c r="O124" i="2"/>
  <c r="E123" i="2"/>
  <c r="M126" i="2"/>
  <c r="J145" i="2"/>
  <c r="O149" i="2"/>
  <c r="M167" i="2"/>
  <c r="H227" i="2"/>
  <c r="O247" i="2"/>
  <c r="N101" i="2"/>
  <c r="M170" i="2"/>
  <c r="L227" i="2"/>
  <c r="F14" i="2"/>
  <c r="G55" i="2"/>
  <c r="C58" i="2"/>
  <c r="C101" i="2"/>
  <c r="G104" i="2"/>
  <c r="M123" i="2"/>
  <c r="F147" i="2"/>
  <c r="E167" i="2"/>
  <c r="H224" i="2"/>
  <c r="J14" i="2"/>
  <c r="K22" i="2"/>
  <c r="O5" i="2"/>
  <c r="G15" i="2"/>
  <c r="M12" i="2"/>
  <c r="D82" i="2"/>
  <c r="K82" i="2"/>
  <c r="O6" i="2"/>
  <c r="K101" i="2"/>
  <c r="O97" i="2"/>
  <c r="C104" i="2"/>
  <c r="K104" i="2"/>
  <c r="K100" i="2"/>
  <c r="L105" i="2"/>
  <c r="F123" i="2"/>
  <c r="J125" i="2"/>
  <c r="G126" i="2"/>
  <c r="G148" i="2"/>
  <c r="O168" i="2"/>
  <c r="O165" i="2"/>
  <c r="I170" i="2"/>
  <c r="F205" i="2"/>
  <c r="N205" i="2"/>
  <c r="N246" i="2"/>
  <c r="F249" i="2"/>
  <c r="N249" i="2"/>
  <c r="O9" i="2"/>
  <c r="M24" i="2"/>
  <c r="O27" i="2"/>
  <c r="O28" i="2"/>
  <c r="O29" i="2"/>
  <c r="O31" i="2"/>
  <c r="O32" i="2"/>
  <c r="O35" i="2"/>
  <c r="O36" i="2"/>
  <c r="O37" i="2"/>
  <c r="O53" i="2"/>
  <c r="F55" i="2"/>
  <c r="N55" i="2"/>
  <c r="F58" i="2"/>
  <c r="N58" i="2"/>
  <c r="C79" i="2"/>
  <c r="K79" i="2"/>
  <c r="F82" i="2"/>
  <c r="N82" i="2"/>
  <c r="L103" i="2"/>
  <c r="H104" i="2"/>
  <c r="N125" i="2"/>
  <c r="I126" i="2"/>
  <c r="C145" i="2"/>
  <c r="K145" i="2"/>
  <c r="H147" i="2"/>
  <c r="K148" i="2"/>
  <c r="J170" i="2"/>
  <c r="J202" i="2"/>
  <c r="G205" i="2"/>
  <c r="O206" i="2"/>
  <c r="L224" i="2"/>
  <c r="I227" i="2"/>
  <c r="G249" i="2"/>
  <c r="G82" i="2"/>
  <c r="I103" i="2"/>
  <c r="M103" i="2"/>
  <c r="O122" i="2"/>
  <c r="N202" i="2"/>
  <c r="J205" i="2"/>
  <c r="F246" i="2"/>
  <c r="J249" i="2"/>
  <c r="J58" i="2"/>
  <c r="G79" i="2"/>
  <c r="C82" i="2"/>
  <c r="F104" i="2"/>
  <c r="F126" i="2"/>
  <c r="G145" i="2"/>
  <c r="C148" i="2"/>
  <c r="F167" i="2"/>
  <c r="E170" i="2"/>
  <c r="O171" i="2"/>
  <c r="O201" i="2"/>
  <c r="F202" i="2"/>
  <c r="C205" i="2"/>
  <c r="K205" i="2"/>
  <c r="E227" i="2"/>
  <c r="M227" i="2"/>
  <c r="J246" i="2"/>
  <c r="C249" i="2"/>
  <c r="K249" i="2"/>
  <c r="E14" i="2"/>
  <c r="I14" i="2"/>
  <c r="I17" i="2"/>
  <c r="E17" i="2"/>
  <c r="M17" i="2"/>
  <c r="D17" i="2"/>
  <c r="D14" i="2"/>
  <c r="H17" i="2"/>
  <c r="H14" i="2"/>
  <c r="L14" i="2"/>
  <c r="L17" i="2"/>
  <c r="M14" i="2"/>
  <c r="M16" i="2"/>
  <c r="H24" i="2"/>
  <c r="H16" i="2"/>
  <c r="H15" i="2"/>
  <c r="I18" i="2"/>
  <c r="M79" i="2"/>
  <c r="M82" i="2"/>
  <c r="I101" i="2"/>
  <c r="I100" i="2"/>
  <c r="I99" i="2"/>
  <c r="L24" i="2"/>
  <c r="L16" i="2"/>
  <c r="L15" i="2"/>
  <c r="L13" i="2"/>
  <c r="M15" i="2"/>
  <c r="M18" i="2"/>
  <c r="M21" i="2" s="1"/>
  <c r="H22" i="2"/>
  <c r="H58" i="2"/>
  <c r="I79" i="2"/>
  <c r="I82" i="2"/>
  <c r="O93" i="2"/>
  <c r="J100" i="2"/>
  <c r="J102" i="2"/>
  <c r="J103" i="2"/>
  <c r="E101" i="2"/>
  <c r="E99" i="2"/>
  <c r="C13" i="2"/>
  <c r="H13" i="2"/>
  <c r="M13" i="2"/>
  <c r="C15" i="2"/>
  <c r="I15" i="2"/>
  <c r="F19" i="2"/>
  <c r="F18" i="2" s="1"/>
  <c r="J19" i="2"/>
  <c r="J18" i="2" s="1"/>
  <c r="N19" i="2"/>
  <c r="N18" i="2" s="1"/>
  <c r="O25" i="2"/>
  <c r="O33" i="2"/>
  <c r="O34" i="2"/>
  <c r="E55" i="2"/>
  <c r="E58" i="2"/>
  <c r="I55" i="2"/>
  <c r="I58" i="2"/>
  <c r="M55" i="2"/>
  <c r="M58" i="2"/>
  <c r="I57" i="2"/>
  <c r="D58" i="2"/>
  <c r="C62" i="2"/>
  <c r="O80" i="2"/>
  <c r="O78" i="2"/>
  <c r="D81" i="2"/>
  <c r="L81" i="2"/>
  <c r="C103" i="2"/>
  <c r="C102" i="2"/>
  <c r="C100" i="2"/>
  <c r="C99" i="2"/>
  <c r="G103" i="2"/>
  <c r="G102" i="2"/>
  <c r="G100" i="2"/>
  <c r="G99" i="2"/>
  <c r="K103" i="2"/>
  <c r="K99" i="2"/>
  <c r="O94" i="2"/>
  <c r="J101" i="2"/>
  <c r="I104" i="2"/>
  <c r="M104" i="2"/>
  <c r="J99" i="2"/>
  <c r="O106" i="2"/>
  <c r="O108" i="2"/>
  <c r="O121" i="2"/>
  <c r="D24" i="2"/>
  <c r="D16" i="2"/>
  <c r="D15" i="2"/>
  <c r="O8" i="2"/>
  <c r="G13" i="2"/>
  <c r="E18" i="2"/>
  <c r="H57" i="2"/>
  <c r="E79" i="2"/>
  <c r="E82" i="2"/>
  <c r="F100" i="2"/>
  <c r="F103" i="2"/>
  <c r="N100" i="2"/>
  <c r="N102" i="2"/>
  <c r="M101" i="2"/>
  <c r="M99" i="2"/>
  <c r="F7" i="2"/>
  <c r="J7" i="2"/>
  <c r="N7" i="2"/>
  <c r="F17" i="2"/>
  <c r="J17" i="2"/>
  <c r="N17" i="2"/>
  <c r="L12" i="2"/>
  <c r="D13" i="2"/>
  <c r="I13" i="2"/>
  <c r="E15" i="2"/>
  <c r="L22" i="2"/>
  <c r="O56" i="2"/>
  <c r="O54" i="2"/>
  <c r="D57" i="2"/>
  <c r="L57" i="2"/>
  <c r="E81" i="2"/>
  <c r="M81" i="2"/>
  <c r="L82" i="2"/>
  <c r="O95" i="2"/>
  <c r="O96" i="2"/>
  <c r="N99" i="2"/>
  <c r="F102" i="2"/>
  <c r="D126" i="2"/>
  <c r="D123" i="2"/>
  <c r="H126" i="2"/>
  <c r="H125" i="2"/>
  <c r="L126" i="2"/>
  <c r="L123" i="2"/>
  <c r="L125" i="2"/>
  <c r="D125" i="2"/>
  <c r="C21" i="2"/>
  <c r="C24" i="2"/>
  <c r="C16" i="2"/>
  <c r="C12" i="2"/>
  <c r="G24" i="2"/>
  <c r="G16" i="2"/>
  <c r="G12" i="2"/>
  <c r="K24" i="2"/>
  <c r="K16" i="2"/>
  <c r="K12" i="2"/>
  <c r="C17" i="2"/>
  <c r="G17" i="2"/>
  <c r="K17" i="2"/>
  <c r="O11" i="2"/>
  <c r="H12" i="2"/>
  <c r="K13" i="2"/>
  <c r="K15" i="2"/>
  <c r="O20" i="2"/>
  <c r="L21" i="2"/>
  <c r="G22" i="2"/>
  <c r="O30" i="2"/>
  <c r="L58" i="2"/>
  <c r="H81" i="2"/>
  <c r="H82" i="2"/>
  <c r="E103" i="2"/>
  <c r="M100" i="2"/>
  <c r="D100" i="2"/>
  <c r="D99" i="2"/>
  <c r="D101" i="2"/>
  <c r="H100" i="2"/>
  <c r="H99" i="2"/>
  <c r="L101" i="2"/>
  <c r="L99" i="2"/>
  <c r="O98" i="2"/>
  <c r="E100" i="2"/>
  <c r="H101" i="2"/>
  <c r="N103" i="2"/>
  <c r="M147" i="2"/>
  <c r="E148" i="2"/>
  <c r="C167" i="2"/>
  <c r="C170" i="2"/>
  <c r="G167" i="2"/>
  <c r="G170" i="2"/>
  <c r="K167" i="2"/>
  <c r="K170" i="2"/>
  <c r="O161" i="2"/>
  <c r="O169" i="2" s="1"/>
  <c r="G169" i="2"/>
  <c r="D202" i="2"/>
  <c r="D205" i="2"/>
  <c r="H202" i="2"/>
  <c r="H205" i="2"/>
  <c r="L202" i="2"/>
  <c r="L205" i="2"/>
  <c r="D204" i="2"/>
  <c r="O223" i="2"/>
  <c r="O222" i="2"/>
  <c r="F224" i="2"/>
  <c r="F227" i="2"/>
  <c r="J224" i="2"/>
  <c r="J227" i="2"/>
  <c r="N224" i="2"/>
  <c r="N227" i="2"/>
  <c r="F226" i="2"/>
  <c r="O244" i="2"/>
  <c r="L100" i="2"/>
  <c r="M102" i="2"/>
  <c r="N123" i="2"/>
  <c r="K125" i="2"/>
  <c r="C126" i="2"/>
  <c r="O143" i="2"/>
  <c r="O144" i="2"/>
  <c r="L145" i="2"/>
  <c r="D147" i="2"/>
  <c r="I147" i="2"/>
  <c r="N147" i="2"/>
  <c r="L148" i="2"/>
  <c r="D170" i="2"/>
  <c r="D169" i="2"/>
  <c r="H170" i="2"/>
  <c r="H169" i="2"/>
  <c r="L170" i="2"/>
  <c r="L169" i="2"/>
  <c r="O166" i="2"/>
  <c r="H167" i="2"/>
  <c r="J169" i="2"/>
  <c r="H204" i="2"/>
  <c r="J226" i="2"/>
  <c r="O228" i="2"/>
  <c r="D246" i="2"/>
  <c r="D249" i="2"/>
  <c r="H246" i="2"/>
  <c r="H249" i="2"/>
  <c r="L246" i="2"/>
  <c r="L249" i="2"/>
  <c r="L248" i="2"/>
  <c r="O250" i="2"/>
  <c r="O49" i="2"/>
  <c r="O55" i="2" s="1"/>
  <c r="O73" i="2"/>
  <c r="O107" i="2"/>
  <c r="J123" i="2"/>
  <c r="G125" i="2"/>
  <c r="H145" i="2"/>
  <c r="E147" i="2"/>
  <c r="M148" i="2"/>
  <c r="C169" i="2"/>
  <c r="K169" i="2"/>
  <c r="F170" i="2"/>
  <c r="N170" i="2"/>
  <c r="O203" i="2"/>
  <c r="L204" i="2"/>
  <c r="N226" i="2"/>
  <c r="J104" i="2"/>
  <c r="N104" i="2"/>
  <c r="E105" i="2"/>
  <c r="I105" i="2"/>
  <c r="M105" i="2"/>
  <c r="O117" i="2"/>
  <c r="O125" i="2" s="1"/>
  <c r="C125" i="2"/>
  <c r="K126" i="2"/>
  <c r="O127" i="2"/>
  <c r="D145" i="2"/>
  <c r="I148" i="2"/>
  <c r="N169" i="2"/>
  <c r="O200" i="2"/>
  <c r="O225" i="2"/>
  <c r="O245" i="2"/>
  <c r="C202" i="2"/>
  <c r="G202" i="2"/>
  <c r="K202" i="2"/>
  <c r="E204" i="2"/>
  <c r="I204" i="2"/>
  <c r="M204" i="2"/>
  <c r="O218" i="2"/>
  <c r="O224" i="2" s="1"/>
  <c r="E224" i="2"/>
  <c r="I224" i="2"/>
  <c r="M224" i="2"/>
  <c r="C226" i="2"/>
  <c r="G226" i="2"/>
  <c r="K226" i="2"/>
  <c r="C246" i="2"/>
  <c r="G246" i="2"/>
  <c r="K246" i="2"/>
  <c r="E248" i="2"/>
  <c r="I248" i="2"/>
  <c r="M248" i="2"/>
  <c r="O139" i="2"/>
  <c r="O145" i="2" s="1"/>
  <c r="M205" i="2"/>
  <c r="C227" i="2"/>
  <c r="G227" i="2"/>
  <c r="K227" i="2"/>
  <c r="E249" i="2"/>
  <c r="I249" i="2"/>
  <c r="M249" i="2"/>
  <c r="O196" i="2"/>
  <c r="O202" i="2" s="1"/>
  <c r="O240" i="2"/>
  <c r="E16" i="2" l="1"/>
  <c r="E21" i="2"/>
  <c r="E12" i="2"/>
  <c r="E22" i="2"/>
  <c r="I16" i="2"/>
  <c r="I21" i="2"/>
  <c r="I22" i="2"/>
  <c r="O104" i="2"/>
  <c r="I24" i="2"/>
  <c r="O14" i="2"/>
  <c r="O170" i="2"/>
  <c r="O167" i="2"/>
  <c r="O101" i="2"/>
  <c r="O17" i="2"/>
  <c r="O147" i="2"/>
  <c r="O226" i="2"/>
  <c r="F22" i="2"/>
  <c r="F21" i="2"/>
  <c r="F13" i="2"/>
  <c r="F15" i="2"/>
  <c r="F12" i="2"/>
  <c r="F24" i="2"/>
  <c r="F16" i="2"/>
  <c r="O148" i="2"/>
  <c r="O248" i="2"/>
  <c r="O249" i="2"/>
  <c r="O105" i="2"/>
  <c r="O81" i="2"/>
  <c r="O82" i="2"/>
  <c r="O79" i="2"/>
  <c r="O246" i="2"/>
  <c r="N22" i="2"/>
  <c r="N21" i="2"/>
  <c r="N13" i="2"/>
  <c r="N16" i="2"/>
  <c r="N15" i="2"/>
  <c r="N24" i="2"/>
  <c r="N12" i="2"/>
  <c r="O19" i="2"/>
  <c r="O204" i="2"/>
  <c r="O205" i="2"/>
  <c r="O57" i="2"/>
  <c r="O58" i="2"/>
  <c r="O126" i="2"/>
  <c r="J22" i="2"/>
  <c r="J21" i="2"/>
  <c r="J13" i="2"/>
  <c r="J24" i="2"/>
  <c r="J16" i="2"/>
  <c r="J15" i="2"/>
  <c r="J12" i="2"/>
  <c r="O7" i="2"/>
  <c r="O103" i="2"/>
  <c r="O102" i="2"/>
  <c r="O100" i="2"/>
  <c r="O99" i="2"/>
  <c r="O227" i="2"/>
  <c r="O123" i="2"/>
  <c r="O18" i="2"/>
  <c r="O21" i="2" l="1"/>
  <c r="O24" i="2"/>
  <c r="O16" i="2"/>
  <c r="O12" i="2"/>
  <c r="O22" i="2"/>
  <c r="O15" i="2"/>
  <c r="O13" i="2"/>
  <c r="O233" i="3" l="1"/>
  <c r="O232" i="3"/>
  <c r="O231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O225" i="3"/>
  <c r="O224" i="3"/>
  <c r="O223" i="3"/>
  <c r="N222" i="3"/>
  <c r="N229" i="3" s="1"/>
  <c r="M222" i="3"/>
  <c r="M229" i="3" s="1"/>
  <c r="L222" i="3"/>
  <c r="L228" i="3" s="1"/>
  <c r="K222" i="3"/>
  <c r="K229" i="3" s="1"/>
  <c r="J222" i="3"/>
  <c r="J229" i="3" s="1"/>
  <c r="I222" i="3"/>
  <c r="I229" i="3" s="1"/>
  <c r="H222" i="3"/>
  <c r="H228" i="3" s="1"/>
  <c r="G222" i="3"/>
  <c r="G229" i="3" s="1"/>
  <c r="F222" i="3"/>
  <c r="F229" i="3" s="1"/>
  <c r="E222" i="3"/>
  <c r="E228" i="3" s="1"/>
  <c r="D222" i="3"/>
  <c r="D228" i="3" s="1"/>
  <c r="C222" i="3"/>
  <c r="C229" i="3" s="1"/>
  <c r="O221" i="3"/>
  <c r="O220" i="3"/>
  <c r="O219" i="3"/>
  <c r="N216" i="3"/>
  <c r="O213" i="3"/>
  <c r="O212" i="3"/>
  <c r="O211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O205" i="3"/>
  <c r="O204" i="3"/>
  <c r="O203" i="3"/>
  <c r="N202" i="3"/>
  <c r="N209" i="3" s="1"/>
  <c r="M202" i="3"/>
  <c r="M209" i="3" s="1"/>
  <c r="L202" i="3"/>
  <c r="L208" i="3" s="1"/>
  <c r="K202" i="3"/>
  <c r="K209" i="3" s="1"/>
  <c r="J202" i="3"/>
  <c r="J209" i="3" s="1"/>
  <c r="I202" i="3"/>
  <c r="I208" i="3" s="1"/>
  <c r="H202" i="3"/>
  <c r="H208" i="3" s="1"/>
  <c r="G202" i="3"/>
  <c r="G209" i="3" s="1"/>
  <c r="F202" i="3"/>
  <c r="F209" i="3" s="1"/>
  <c r="E202" i="3"/>
  <c r="E209" i="3" s="1"/>
  <c r="D202" i="3"/>
  <c r="D208" i="3" s="1"/>
  <c r="C202" i="3"/>
  <c r="C209" i="3" s="1"/>
  <c r="O201" i="3"/>
  <c r="O200" i="3"/>
  <c r="O199" i="3"/>
  <c r="N196" i="3"/>
  <c r="O193" i="3"/>
  <c r="O192" i="3"/>
  <c r="O191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O185" i="3"/>
  <c r="O184" i="3"/>
  <c r="O183" i="3"/>
  <c r="N182" i="3"/>
  <c r="N189" i="3" s="1"/>
  <c r="M182" i="3"/>
  <c r="M189" i="3" s="1"/>
  <c r="L182" i="3"/>
  <c r="L188" i="3" s="1"/>
  <c r="K182" i="3"/>
  <c r="K189" i="3" s="1"/>
  <c r="J182" i="3"/>
  <c r="J189" i="3" s="1"/>
  <c r="I182" i="3"/>
  <c r="I189" i="3" s="1"/>
  <c r="H182" i="3"/>
  <c r="H188" i="3" s="1"/>
  <c r="G182" i="3"/>
  <c r="G189" i="3" s="1"/>
  <c r="F182" i="3"/>
  <c r="F189" i="3" s="1"/>
  <c r="E182" i="3"/>
  <c r="E188" i="3" s="1"/>
  <c r="D182" i="3"/>
  <c r="D188" i="3" s="1"/>
  <c r="C182" i="3"/>
  <c r="C189" i="3" s="1"/>
  <c r="O181" i="3"/>
  <c r="O180" i="3"/>
  <c r="O179" i="3"/>
  <c r="N176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O152" i="3"/>
  <c r="O151" i="3"/>
  <c r="O150" i="3"/>
  <c r="N149" i="3"/>
  <c r="N155" i="3" s="1"/>
  <c r="M149" i="3"/>
  <c r="M155" i="3" s="1"/>
  <c r="L149" i="3"/>
  <c r="L156" i="3" s="1"/>
  <c r="K149" i="3"/>
  <c r="K156" i="3" s="1"/>
  <c r="J149" i="3"/>
  <c r="J156" i="3" s="1"/>
  <c r="I149" i="3"/>
  <c r="I155" i="3" s="1"/>
  <c r="H149" i="3"/>
  <c r="H156" i="3" s="1"/>
  <c r="G149" i="3"/>
  <c r="G156" i="3" s="1"/>
  <c r="F149" i="3"/>
  <c r="F155" i="3" s="1"/>
  <c r="E149" i="3"/>
  <c r="E155" i="3" s="1"/>
  <c r="D149" i="3"/>
  <c r="D156" i="3" s="1"/>
  <c r="C149" i="3"/>
  <c r="C155" i="3" s="1"/>
  <c r="O148" i="3"/>
  <c r="O147" i="3"/>
  <c r="O146" i="3"/>
  <c r="N143" i="3"/>
  <c r="O140" i="3"/>
  <c r="O139" i="3"/>
  <c r="O13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O132" i="3"/>
  <c r="O131" i="3"/>
  <c r="O130" i="3"/>
  <c r="N129" i="3"/>
  <c r="N136" i="3" s="1"/>
  <c r="M129" i="3"/>
  <c r="M135" i="3" s="1"/>
  <c r="L129" i="3"/>
  <c r="L136" i="3" s="1"/>
  <c r="K129" i="3"/>
  <c r="K136" i="3" s="1"/>
  <c r="J129" i="3"/>
  <c r="J135" i="3" s="1"/>
  <c r="I129" i="3"/>
  <c r="I135" i="3" s="1"/>
  <c r="H129" i="3"/>
  <c r="H136" i="3" s="1"/>
  <c r="G129" i="3"/>
  <c r="G136" i="3" s="1"/>
  <c r="F129" i="3"/>
  <c r="F136" i="3" s="1"/>
  <c r="E129" i="3"/>
  <c r="E135" i="3" s="1"/>
  <c r="D129" i="3"/>
  <c r="D136" i="3" s="1"/>
  <c r="C129" i="3"/>
  <c r="O128" i="3"/>
  <c r="O127" i="3"/>
  <c r="O126" i="3"/>
  <c r="N123" i="3"/>
  <c r="O120" i="3"/>
  <c r="O119" i="3"/>
  <c r="O118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O112" i="3"/>
  <c r="O111" i="3"/>
  <c r="O110" i="3"/>
  <c r="N109" i="3"/>
  <c r="N116" i="3" s="1"/>
  <c r="M109" i="3"/>
  <c r="M115" i="3" s="1"/>
  <c r="L109" i="3"/>
  <c r="L116" i="3" s="1"/>
  <c r="K109" i="3"/>
  <c r="K116" i="3" s="1"/>
  <c r="J109" i="3"/>
  <c r="J116" i="3" s="1"/>
  <c r="I109" i="3"/>
  <c r="I115" i="3" s="1"/>
  <c r="H109" i="3"/>
  <c r="H116" i="3" s="1"/>
  <c r="G109" i="3"/>
  <c r="G116" i="3" s="1"/>
  <c r="F109" i="3"/>
  <c r="F116" i="3" s="1"/>
  <c r="E109" i="3"/>
  <c r="E115" i="3" s="1"/>
  <c r="D109" i="3"/>
  <c r="D116" i="3" s="1"/>
  <c r="C109" i="3"/>
  <c r="O108" i="3"/>
  <c r="O107" i="3"/>
  <c r="O106" i="3"/>
  <c r="N103" i="3"/>
  <c r="N100" i="3"/>
  <c r="M100" i="3"/>
  <c r="L100" i="3"/>
  <c r="K100" i="3"/>
  <c r="K21" i="3" s="1"/>
  <c r="J100" i="3"/>
  <c r="I100" i="3"/>
  <c r="H100" i="3"/>
  <c r="G100" i="3"/>
  <c r="G21" i="3" s="1"/>
  <c r="F100" i="3"/>
  <c r="E100" i="3"/>
  <c r="D100" i="3"/>
  <c r="C100" i="3"/>
  <c r="N99" i="3"/>
  <c r="M99" i="3"/>
  <c r="L99" i="3"/>
  <c r="K99" i="3"/>
  <c r="J99" i="3"/>
  <c r="I99" i="3"/>
  <c r="H99" i="3"/>
  <c r="G99" i="3"/>
  <c r="F99" i="3"/>
  <c r="E99" i="3"/>
  <c r="E97" i="3" s="1"/>
  <c r="D99" i="3"/>
  <c r="N98" i="3"/>
  <c r="M98" i="3"/>
  <c r="L98" i="3"/>
  <c r="K98" i="3"/>
  <c r="J98" i="3"/>
  <c r="J97" i="3" s="1"/>
  <c r="I98" i="3"/>
  <c r="H98" i="3"/>
  <c r="G98" i="3"/>
  <c r="F98" i="3"/>
  <c r="F97" i="3" s="1"/>
  <c r="E98" i="3"/>
  <c r="D98" i="3"/>
  <c r="C98" i="3"/>
  <c r="C97" i="3" s="1"/>
  <c r="N97" i="3"/>
  <c r="N92" i="3"/>
  <c r="M92" i="3"/>
  <c r="L92" i="3"/>
  <c r="K92" i="3"/>
  <c r="J92" i="3"/>
  <c r="I92" i="3"/>
  <c r="H92" i="3"/>
  <c r="G92" i="3"/>
  <c r="F92" i="3"/>
  <c r="E92" i="3"/>
  <c r="D92" i="3"/>
  <c r="C92" i="3"/>
  <c r="N91" i="3"/>
  <c r="M91" i="3"/>
  <c r="L91" i="3"/>
  <c r="K91" i="3"/>
  <c r="J91" i="3"/>
  <c r="I91" i="3"/>
  <c r="H91" i="3"/>
  <c r="G91" i="3"/>
  <c r="F91" i="3"/>
  <c r="E91" i="3"/>
  <c r="D91" i="3"/>
  <c r="C91" i="3"/>
  <c r="N90" i="3"/>
  <c r="M90" i="3"/>
  <c r="L90" i="3"/>
  <c r="K90" i="3"/>
  <c r="J90" i="3"/>
  <c r="I90" i="3"/>
  <c r="H90" i="3"/>
  <c r="G90" i="3"/>
  <c r="F90" i="3"/>
  <c r="E90" i="3"/>
  <c r="D90" i="3"/>
  <c r="C90" i="3"/>
  <c r="N88" i="3"/>
  <c r="N93" i="3" s="1"/>
  <c r="M88" i="3"/>
  <c r="L88" i="3"/>
  <c r="K88" i="3"/>
  <c r="J88" i="3"/>
  <c r="J93" i="3" s="1"/>
  <c r="I88" i="3"/>
  <c r="H88" i="3"/>
  <c r="G88" i="3"/>
  <c r="F88" i="3"/>
  <c r="F93" i="3" s="1"/>
  <c r="E88" i="3"/>
  <c r="D88" i="3"/>
  <c r="C88" i="3"/>
  <c r="N87" i="3"/>
  <c r="M87" i="3"/>
  <c r="L87" i="3"/>
  <c r="K87" i="3"/>
  <c r="J87" i="3"/>
  <c r="I87" i="3"/>
  <c r="H87" i="3"/>
  <c r="G87" i="3"/>
  <c r="F87" i="3"/>
  <c r="E87" i="3"/>
  <c r="D87" i="3"/>
  <c r="C87" i="3"/>
  <c r="N86" i="3"/>
  <c r="N89" i="3" s="1"/>
  <c r="M86" i="3"/>
  <c r="M89" i="3" s="1"/>
  <c r="L86" i="3"/>
  <c r="L89" i="3" s="1"/>
  <c r="K86" i="3"/>
  <c r="K89" i="3" s="1"/>
  <c r="J86" i="3"/>
  <c r="J89" i="3" s="1"/>
  <c r="I86" i="3"/>
  <c r="I89" i="3" s="1"/>
  <c r="H86" i="3"/>
  <c r="H89" i="3" s="1"/>
  <c r="G86" i="3"/>
  <c r="G89" i="3" s="1"/>
  <c r="F86" i="3"/>
  <c r="F89" i="3" s="1"/>
  <c r="E86" i="3"/>
  <c r="E89" i="3" s="1"/>
  <c r="D86" i="3"/>
  <c r="D89" i="3" s="1"/>
  <c r="C86" i="3"/>
  <c r="O84" i="3"/>
  <c r="N83" i="3"/>
  <c r="O80" i="3"/>
  <c r="O79" i="3"/>
  <c r="O78" i="3"/>
  <c r="N77" i="3"/>
  <c r="M77" i="3"/>
  <c r="L77" i="3"/>
  <c r="K77" i="3"/>
  <c r="J77" i="3"/>
  <c r="I77" i="3"/>
  <c r="H77" i="3"/>
  <c r="G77" i="3"/>
  <c r="F77" i="3"/>
  <c r="E77" i="3"/>
  <c r="D77" i="3"/>
  <c r="C77" i="3"/>
  <c r="N74" i="3"/>
  <c r="M74" i="3"/>
  <c r="L74" i="3"/>
  <c r="K74" i="3"/>
  <c r="J74" i="3"/>
  <c r="I74" i="3"/>
  <c r="H74" i="3"/>
  <c r="G74" i="3"/>
  <c r="F74" i="3"/>
  <c r="E74" i="3"/>
  <c r="D74" i="3"/>
  <c r="C74" i="3"/>
  <c r="N73" i="3"/>
  <c r="M73" i="3"/>
  <c r="L73" i="3"/>
  <c r="K73" i="3"/>
  <c r="J73" i="3"/>
  <c r="I73" i="3"/>
  <c r="H73" i="3"/>
  <c r="G73" i="3"/>
  <c r="F73" i="3"/>
  <c r="E73" i="3"/>
  <c r="D73" i="3"/>
  <c r="C73" i="3"/>
  <c r="O72" i="3"/>
  <c r="O71" i="3"/>
  <c r="O70" i="3"/>
  <c r="N69" i="3"/>
  <c r="N76" i="3" s="1"/>
  <c r="M69" i="3"/>
  <c r="M75" i="3" s="1"/>
  <c r="L69" i="3"/>
  <c r="L76" i="3" s="1"/>
  <c r="K69" i="3"/>
  <c r="K76" i="3" s="1"/>
  <c r="J69" i="3"/>
  <c r="J76" i="3" s="1"/>
  <c r="I69" i="3"/>
  <c r="I75" i="3" s="1"/>
  <c r="H69" i="3"/>
  <c r="H76" i="3" s="1"/>
  <c r="G69" i="3"/>
  <c r="G76" i="3" s="1"/>
  <c r="F69" i="3"/>
  <c r="F76" i="3" s="1"/>
  <c r="E69" i="3"/>
  <c r="E75" i="3" s="1"/>
  <c r="D69" i="3"/>
  <c r="D76" i="3" s="1"/>
  <c r="C69" i="3"/>
  <c r="O68" i="3"/>
  <c r="O67" i="3"/>
  <c r="O66" i="3"/>
  <c r="N63" i="3"/>
  <c r="O60" i="3"/>
  <c r="N59" i="3"/>
  <c r="M59" i="3"/>
  <c r="L59" i="3"/>
  <c r="K59" i="3"/>
  <c r="J59" i="3"/>
  <c r="I59" i="3"/>
  <c r="H59" i="3"/>
  <c r="G59" i="3"/>
  <c r="F59" i="3"/>
  <c r="E59" i="3"/>
  <c r="D59" i="3"/>
  <c r="C59" i="3"/>
  <c r="O57" i="3"/>
  <c r="O56" i="3"/>
  <c r="N55" i="3"/>
  <c r="N58" i="3" s="1"/>
  <c r="M55" i="3"/>
  <c r="M58" i="3" s="1"/>
  <c r="L55" i="3"/>
  <c r="L58" i="3" s="1"/>
  <c r="K55" i="3"/>
  <c r="K58" i="3" s="1"/>
  <c r="J55" i="3"/>
  <c r="J58" i="3" s="1"/>
  <c r="I55" i="3"/>
  <c r="I58" i="3" s="1"/>
  <c r="H55" i="3"/>
  <c r="H58" i="3" s="1"/>
  <c r="G55" i="3"/>
  <c r="G58" i="3" s="1"/>
  <c r="F55" i="3"/>
  <c r="F58" i="3" s="1"/>
  <c r="E55" i="3"/>
  <c r="E58" i="3" s="1"/>
  <c r="D55" i="3"/>
  <c r="D58" i="3" s="1"/>
  <c r="C55" i="3"/>
  <c r="N52" i="3"/>
  <c r="M52" i="3"/>
  <c r="L52" i="3"/>
  <c r="K52" i="3"/>
  <c r="J52" i="3"/>
  <c r="I52" i="3"/>
  <c r="H52" i="3"/>
  <c r="G52" i="3"/>
  <c r="F52" i="3"/>
  <c r="E52" i="3"/>
  <c r="D52" i="3"/>
  <c r="C52" i="3"/>
  <c r="N51" i="3"/>
  <c r="M51" i="3"/>
  <c r="L51" i="3"/>
  <c r="K51" i="3"/>
  <c r="J51" i="3"/>
  <c r="I51" i="3"/>
  <c r="H51" i="3"/>
  <c r="G51" i="3"/>
  <c r="F51" i="3"/>
  <c r="E51" i="3"/>
  <c r="D51" i="3"/>
  <c r="C51" i="3"/>
  <c r="O50" i="3"/>
  <c r="O49" i="3"/>
  <c r="O48" i="3"/>
  <c r="N47" i="3"/>
  <c r="M47" i="3"/>
  <c r="L47" i="3"/>
  <c r="K47" i="3"/>
  <c r="J47" i="3"/>
  <c r="I47" i="3"/>
  <c r="H47" i="3"/>
  <c r="G47" i="3"/>
  <c r="F47" i="3"/>
  <c r="E47" i="3"/>
  <c r="D47" i="3"/>
  <c r="C47" i="3"/>
  <c r="O46" i="3"/>
  <c r="O45" i="3"/>
  <c r="O44" i="3"/>
  <c r="N41" i="3"/>
  <c r="N35" i="3"/>
  <c r="M35" i="3"/>
  <c r="L35" i="3"/>
  <c r="K35" i="3"/>
  <c r="J35" i="3"/>
  <c r="I35" i="3"/>
  <c r="H35" i="3"/>
  <c r="G35" i="3"/>
  <c r="F35" i="3"/>
  <c r="E35" i="3"/>
  <c r="D35" i="3"/>
  <c r="C35" i="3"/>
  <c r="N34" i="3"/>
  <c r="M34" i="3"/>
  <c r="L34" i="3"/>
  <c r="K34" i="3"/>
  <c r="J34" i="3"/>
  <c r="I34" i="3"/>
  <c r="H34" i="3"/>
  <c r="G34" i="3"/>
  <c r="F34" i="3"/>
  <c r="E34" i="3"/>
  <c r="D34" i="3"/>
  <c r="C34" i="3"/>
  <c r="N33" i="3"/>
  <c r="M33" i="3"/>
  <c r="L33" i="3"/>
  <c r="K33" i="3"/>
  <c r="J33" i="3"/>
  <c r="I33" i="3"/>
  <c r="H33" i="3"/>
  <c r="G33" i="3"/>
  <c r="F33" i="3"/>
  <c r="E33" i="3"/>
  <c r="D33" i="3"/>
  <c r="C33" i="3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29" i="3"/>
  <c r="M29" i="3"/>
  <c r="L29" i="3"/>
  <c r="K29" i="3"/>
  <c r="J29" i="3"/>
  <c r="I29" i="3"/>
  <c r="H29" i="3"/>
  <c r="G29" i="3"/>
  <c r="F29" i="3"/>
  <c r="E29" i="3"/>
  <c r="D29" i="3"/>
  <c r="C29" i="3"/>
  <c r="N28" i="3"/>
  <c r="M28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E27" i="3"/>
  <c r="D27" i="3"/>
  <c r="C27" i="3"/>
  <c r="N26" i="3"/>
  <c r="M26" i="3"/>
  <c r="L26" i="3"/>
  <c r="K26" i="3"/>
  <c r="J26" i="3"/>
  <c r="I26" i="3"/>
  <c r="H26" i="3"/>
  <c r="G26" i="3"/>
  <c r="F26" i="3"/>
  <c r="E26" i="3"/>
  <c r="D26" i="3"/>
  <c r="C26" i="3"/>
  <c r="N25" i="3"/>
  <c r="M25" i="3"/>
  <c r="L25" i="3"/>
  <c r="J25" i="3"/>
  <c r="I25" i="3"/>
  <c r="H25" i="3"/>
  <c r="G25" i="3"/>
  <c r="F25" i="3"/>
  <c r="E25" i="3"/>
  <c r="D25" i="3"/>
  <c r="C25" i="3"/>
  <c r="N24" i="3"/>
  <c r="M24" i="3"/>
  <c r="L24" i="3"/>
  <c r="K24" i="3"/>
  <c r="J24" i="3"/>
  <c r="I24" i="3"/>
  <c r="H24" i="3"/>
  <c r="G24" i="3"/>
  <c r="F24" i="3"/>
  <c r="E24" i="3"/>
  <c r="D24" i="3"/>
  <c r="C24" i="3"/>
  <c r="N23" i="3"/>
  <c r="M23" i="3"/>
  <c r="L23" i="3"/>
  <c r="K23" i="3"/>
  <c r="J23" i="3"/>
  <c r="I23" i="3"/>
  <c r="H23" i="3"/>
  <c r="G23" i="3"/>
  <c r="F23" i="3"/>
  <c r="E23" i="3"/>
  <c r="D23" i="3"/>
  <c r="C23" i="3"/>
  <c r="N21" i="3"/>
  <c r="M21" i="3"/>
  <c r="L21" i="3"/>
  <c r="J21" i="3"/>
  <c r="I21" i="3"/>
  <c r="H21" i="3"/>
  <c r="F21" i="3"/>
  <c r="E21" i="3"/>
  <c r="D21" i="3"/>
  <c r="N18" i="3"/>
  <c r="N16" i="3" s="1"/>
  <c r="M18" i="3"/>
  <c r="L18" i="3"/>
  <c r="J18" i="3"/>
  <c r="I18" i="3"/>
  <c r="H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F16" i="3" s="1"/>
  <c r="E17" i="3"/>
  <c r="E16" i="3" s="1"/>
  <c r="D17" i="3"/>
  <c r="D16" i="3" s="1"/>
  <c r="C17" i="3"/>
  <c r="N11" i="3"/>
  <c r="M11" i="3"/>
  <c r="L11" i="3"/>
  <c r="K11" i="3"/>
  <c r="J11" i="3"/>
  <c r="I11" i="3"/>
  <c r="H11" i="3"/>
  <c r="G11" i="3"/>
  <c r="F11" i="3"/>
  <c r="E11" i="3"/>
  <c r="D11" i="3"/>
  <c r="C11" i="3"/>
  <c r="N10" i="3"/>
  <c r="M10" i="3"/>
  <c r="L10" i="3"/>
  <c r="K10" i="3"/>
  <c r="J10" i="3"/>
  <c r="I10" i="3"/>
  <c r="H10" i="3"/>
  <c r="G10" i="3"/>
  <c r="F10" i="3"/>
  <c r="E10" i="3"/>
  <c r="D10" i="3"/>
  <c r="C10" i="3"/>
  <c r="N9" i="3"/>
  <c r="M9" i="3"/>
  <c r="L9" i="3"/>
  <c r="K9" i="3"/>
  <c r="J9" i="3"/>
  <c r="I9" i="3"/>
  <c r="H9" i="3"/>
  <c r="G9" i="3"/>
  <c r="F9" i="3"/>
  <c r="E9" i="3"/>
  <c r="D9" i="3"/>
  <c r="C9" i="3"/>
  <c r="N7" i="3"/>
  <c r="M7" i="3"/>
  <c r="L7" i="3"/>
  <c r="K7" i="3"/>
  <c r="J7" i="3"/>
  <c r="I7" i="3"/>
  <c r="H7" i="3"/>
  <c r="G7" i="3"/>
  <c r="F7" i="3"/>
  <c r="E7" i="3"/>
  <c r="D7" i="3"/>
  <c r="C7" i="3"/>
  <c r="N6" i="3"/>
  <c r="M6" i="3"/>
  <c r="L6" i="3"/>
  <c r="K6" i="3"/>
  <c r="J6" i="3"/>
  <c r="I6" i="3"/>
  <c r="H6" i="3"/>
  <c r="G6" i="3"/>
  <c r="F6" i="3"/>
  <c r="E6" i="3"/>
  <c r="D6" i="3"/>
  <c r="C6" i="3"/>
  <c r="N5" i="3"/>
  <c r="N8" i="3" s="1"/>
  <c r="M5" i="3"/>
  <c r="M13" i="3" s="1"/>
  <c r="L5" i="3"/>
  <c r="L13" i="3" s="1"/>
  <c r="K5" i="3"/>
  <c r="K8" i="3" s="1"/>
  <c r="J5" i="3"/>
  <c r="J8" i="3" s="1"/>
  <c r="I5" i="3"/>
  <c r="I13" i="3" s="1"/>
  <c r="H5" i="3"/>
  <c r="H13" i="3" s="1"/>
  <c r="G5" i="3"/>
  <c r="G8" i="3" s="1"/>
  <c r="F5" i="3"/>
  <c r="F8" i="3" s="1"/>
  <c r="E5" i="3"/>
  <c r="E13" i="3" s="1"/>
  <c r="D5" i="3"/>
  <c r="D13" i="3" s="1"/>
  <c r="C5" i="3"/>
  <c r="O3" i="3"/>
  <c r="N2" i="3"/>
  <c r="O227" i="3" l="1"/>
  <c r="M16" i="3"/>
  <c r="E8" i="3"/>
  <c r="E14" i="3" s="1"/>
  <c r="I16" i="3"/>
  <c r="I19" i="3" s="1"/>
  <c r="O73" i="3"/>
  <c r="H97" i="3"/>
  <c r="O153" i="3"/>
  <c r="O77" i="3"/>
  <c r="D97" i="3"/>
  <c r="L97" i="3"/>
  <c r="O6" i="3"/>
  <c r="N208" i="3"/>
  <c r="I97" i="3"/>
  <c r="M97" i="3"/>
  <c r="I188" i="3"/>
  <c r="O210" i="3"/>
  <c r="O207" i="3"/>
  <c r="J16" i="3"/>
  <c r="J19" i="3" s="1"/>
  <c r="E19" i="3"/>
  <c r="I8" i="3"/>
  <c r="I14" i="3" s="1"/>
  <c r="H16" i="3"/>
  <c r="H19" i="3" s="1"/>
  <c r="L16" i="3"/>
  <c r="L19" i="3" s="1"/>
  <c r="O51" i="3"/>
  <c r="N135" i="3"/>
  <c r="M188" i="3"/>
  <c r="M228" i="3"/>
  <c r="F15" i="3"/>
  <c r="J15" i="3"/>
  <c r="G97" i="3"/>
  <c r="K97" i="3"/>
  <c r="O100" i="3"/>
  <c r="O109" i="3"/>
  <c r="O116" i="3" s="1"/>
  <c r="J136" i="3"/>
  <c r="G155" i="3"/>
  <c r="E189" i="3"/>
  <c r="F208" i="3"/>
  <c r="E229" i="3"/>
  <c r="F135" i="3"/>
  <c r="K155" i="3"/>
  <c r="O206" i="3"/>
  <c r="J208" i="3"/>
  <c r="M19" i="3"/>
  <c r="O25" i="3"/>
  <c r="I228" i="3"/>
  <c r="O5" i="3"/>
  <c r="D22" i="3"/>
  <c r="O26" i="3"/>
  <c r="O27" i="3"/>
  <c r="O28" i="3"/>
  <c r="O29" i="3"/>
  <c r="O30" i="3"/>
  <c r="O31" i="3"/>
  <c r="O32" i="3"/>
  <c r="O33" i="3"/>
  <c r="O34" i="3"/>
  <c r="O35" i="3"/>
  <c r="O55" i="3"/>
  <c r="O58" i="3" s="1"/>
  <c r="O129" i="3"/>
  <c r="O135" i="3" s="1"/>
  <c r="O137" i="3"/>
  <c r="O154" i="3"/>
  <c r="F156" i="3"/>
  <c r="O187" i="3"/>
  <c r="I209" i="3"/>
  <c r="N15" i="3"/>
  <c r="L22" i="3"/>
  <c r="F20" i="3"/>
  <c r="J20" i="3"/>
  <c r="N20" i="3"/>
  <c r="M8" i="3"/>
  <c r="M14" i="3" s="1"/>
  <c r="E12" i="3"/>
  <c r="I12" i="3"/>
  <c r="M12" i="3"/>
  <c r="E15" i="3"/>
  <c r="O17" i="3"/>
  <c r="G18" i="3"/>
  <c r="G16" i="3" s="1"/>
  <c r="K18" i="3"/>
  <c r="K16" i="3" s="1"/>
  <c r="K19" i="3" s="1"/>
  <c r="C21" i="3"/>
  <c r="O21" i="3" s="1"/>
  <c r="O23" i="3"/>
  <c r="O24" i="3"/>
  <c r="E94" i="3"/>
  <c r="I94" i="3"/>
  <c r="M94" i="3"/>
  <c r="O113" i="3"/>
  <c r="O117" i="3"/>
  <c r="O134" i="3"/>
  <c r="G135" i="3"/>
  <c r="J155" i="3"/>
  <c r="J188" i="3"/>
  <c r="E208" i="3"/>
  <c r="M208" i="3"/>
  <c r="O226" i="3"/>
  <c r="F228" i="3"/>
  <c r="N228" i="3"/>
  <c r="O230" i="3"/>
  <c r="G19" i="3"/>
  <c r="N156" i="3"/>
  <c r="C8" i="3"/>
  <c r="C14" i="3" s="1"/>
  <c r="H22" i="3"/>
  <c r="O9" i="3"/>
  <c r="O10" i="3"/>
  <c r="G15" i="3"/>
  <c r="K15" i="3"/>
  <c r="E20" i="3"/>
  <c r="I20" i="3"/>
  <c r="M20" i="3"/>
  <c r="E22" i="3"/>
  <c r="I22" i="3"/>
  <c r="M22" i="3"/>
  <c r="O69" i="3"/>
  <c r="O76" i="3" s="1"/>
  <c r="O86" i="3"/>
  <c r="O87" i="3"/>
  <c r="O88" i="3"/>
  <c r="O90" i="3"/>
  <c r="O91" i="3"/>
  <c r="O98" i="3"/>
  <c r="O99" i="3"/>
  <c r="O133" i="3"/>
  <c r="C135" i="3"/>
  <c r="K135" i="3"/>
  <c r="O149" i="3"/>
  <c r="O155" i="3" s="1"/>
  <c r="O157" i="3"/>
  <c r="O186" i="3"/>
  <c r="F188" i="3"/>
  <c r="N188" i="3"/>
  <c r="O190" i="3"/>
  <c r="J228" i="3"/>
  <c r="O7" i="3"/>
  <c r="C12" i="3"/>
  <c r="G12" i="3"/>
  <c r="K12" i="3"/>
  <c r="F13" i="3"/>
  <c r="J13" i="3"/>
  <c r="N13" i="3"/>
  <c r="C16" i="3"/>
  <c r="D19" i="3"/>
  <c r="C20" i="3"/>
  <c r="G20" i="3"/>
  <c r="K20" i="3"/>
  <c r="D54" i="3"/>
  <c r="D53" i="3"/>
  <c r="H54" i="3"/>
  <c r="H53" i="3"/>
  <c r="L54" i="3"/>
  <c r="L53" i="3"/>
  <c r="D95" i="3"/>
  <c r="H95" i="3"/>
  <c r="L95" i="3"/>
  <c r="D96" i="3"/>
  <c r="H96" i="3"/>
  <c r="L96" i="3"/>
  <c r="D8" i="3"/>
  <c r="H8" i="3"/>
  <c r="H15" i="3" s="1"/>
  <c r="L8" i="3"/>
  <c r="L14" i="3" s="1"/>
  <c r="D12" i="3"/>
  <c r="H12" i="3"/>
  <c r="L12" i="3"/>
  <c r="C13" i="3"/>
  <c r="G13" i="3"/>
  <c r="K13" i="3"/>
  <c r="F14" i="3"/>
  <c r="J14" i="3"/>
  <c r="N14" i="3"/>
  <c r="D20" i="3"/>
  <c r="H20" i="3"/>
  <c r="L20" i="3"/>
  <c r="F22" i="3"/>
  <c r="J22" i="3"/>
  <c r="N22" i="3"/>
  <c r="E54" i="3"/>
  <c r="E53" i="3"/>
  <c r="I54" i="3"/>
  <c r="I53" i="3"/>
  <c r="M54" i="3"/>
  <c r="M53" i="3"/>
  <c r="E96" i="3"/>
  <c r="I96" i="3"/>
  <c r="M96" i="3"/>
  <c r="G14" i="3"/>
  <c r="K14" i="3"/>
  <c r="F19" i="3"/>
  <c r="N19" i="3"/>
  <c r="G22" i="3"/>
  <c r="K22" i="3"/>
  <c r="O52" i="3"/>
  <c r="O59" i="3"/>
  <c r="F54" i="3"/>
  <c r="F53" i="3"/>
  <c r="J54" i="3"/>
  <c r="J53" i="3"/>
  <c r="N54" i="3"/>
  <c r="N53" i="3"/>
  <c r="F96" i="3"/>
  <c r="J96" i="3"/>
  <c r="N96" i="3"/>
  <c r="O11" i="3"/>
  <c r="F12" i="3"/>
  <c r="J12" i="3"/>
  <c r="N12" i="3"/>
  <c r="C53" i="3"/>
  <c r="C54" i="3"/>
  <c r="G53" i="3"/>
  <c r="G54" i="3"/>
  <c r="K53" i="3"/>
  <c r="K54" i="3"/>
  <c r="O47" i="3"/>
  <c r="O54" i="3" s="1"/>
  <c r="G95" i="3"/>
  <c r="K95" i="3"/>
  <c r="G96" i="3"/>
  <c r="K96" i="3"/>
  <c r="C58" i="3"/>
  <c r="O74" i="3"/>
  <c r="F75" i="3"/>
  <c r="J75" i="3"/>
  <c r="N75" i="3"/>
  <c r="E76" i="3"/>
  <c r="I76" i="3"/>
  <c r="M76" i="3"/>
  <c r="C89" i="3"/>
  <c r="O89" i="3" s="1"/>
  <c r="C93" i="3"/>
  <c r="G93" i="3"/>
  <c r="K93" i="3"/>
  <c r="F94" i="3"/>
  <c r="J94" i="3"/>
  <c r="N94" i="3"/>
  <c r="E95" i="3"/>
  <c r="I95" i="3"/>
  <c r="M95" i="3"/>
  <c r="O114" i="3"/>
  <c r="F115" i="3"/>
  <c r="J115" i="3"/>
  <c r="N115" i="3"/>
  <c r="E116" i="3"/>
  <c r="I116" i="3"/>
  <c r="M116" i="3"/>
  <c r="E136" i="3"/>
  <c r="I136" i="3"/>
  <c r="M136" i="3"/>
  <c r="E156" i="3"/>
  <c r="I156" i="3"/>
  <c r="M156" i="3"/>
  <c r="O182" i="3"/>
  <c r="O189" i="3" s="1"/>
  <c r="D189" i="3"/>
  <c r="H189" i="3"/>
  <c r="L189" i="3"/>
  <c r="O202" i="3"/>
  <c r="O209" i="3" s="1"/>
  <c r="D209" i="3"/>
  <c r="H209" i="3"/>
  <c r="L209" i="3"/>
  <c r="O222" i="3"/>
  <c r="O228" i="3" s="1"/>
  <c r="D229" i="3"/>
  <c r="H229" i="3"/>
  <c r="L229" i="3"/>
  <c r="C75" i="3"/>
  <c r="G75" i="3"/>
  <c r="K75" i="3"/>
  <c r="D93" i="3"/>
  <c r="H93" i="3"/>
  <c r="L93" i="3"/>
  <c r="C94" i="3"/>
  <c r="G94" i="3"/>
  <c r="K94" i="3"/>
  <c r="F95" i="3"/>
  <c r="J95" i="3"/>
  <c r="N95" i="3"/>
  <c r="C115" i="3"/>
  <c r="G115" i="3"/>
  <c r="K115" i="3"/>
  <c r="D75" i="3"/>
  <c r="H75" i="3"/>
  <c r="L75" i="3"/>
  <c r="C76" i="3"/>
  <c r="E93" i="3"/>
  <c r="I93" i="3"/>
  <c r="M93" i="3"/>
  <c r="D94" i="3"/>
  <c r="H94" i="3"/>
  <c r="L94" i="3"/>
  <c r="D115" i="3"/>
  <c r="H115" i="3"/>
  <c r="L115" i="3"/>
  <c r="C116" i="3"/>
  <c r="D135" i="3"/>
  <c r="H135" i="3"/>
  <c r="L135" i="3"/>
  <c r="C136" i="3"/>
  <c r="D155" i="3"/>
  <c r="H155" i="3"/>
  <c r="L155" i="3"/>
  <c r="C156" i="3"/>
  <c r="C188" i="3"/>
  <c r="G188" i="3"/>
  <c r="K188" i="3"/>
  <c r="C208" i="3"/>
  <c r="G208" i="3"/>
  <c r="K208" i="3"/>
  <c r="C228" i="3"/>
  <c r="G228" i="3"/>
  <c r="K228" i="3"/>
  <c r="O92" i="3"/>
  <c r="O136" i="3" l="1"/>
  <c r="C15" i="3"/>
  <c r="O94" i="3"/>
  <c r="O156" i="3"/>
  <c r="O75" i="3"/>
  <c r="M15" i="3"/>
  <c r="O97" i="3"/>
  <c r="I15" i="3"/>
  <c r="O95" i="3"/>
  <c r="H14" i="3"/>
  <c r="C22" i="3"/>
  <c r="O16" i="3"/>
  <c r="O19" i="3" s="1"/>
  <c r="O96" i="3"/>
  <c r="O115" i="3"/>
  <c r="O93" i="3"/>
  <c r="O53" i="3"/>
  <c r="C95" i="3"/>
  <c r="O18" i="3"/>
  <c r="C19" i="3"/>
  <c r="O229" i="3"/>
  <c r="D14" i="3"/>
  <c r="O8" i="3"/>
  <c r="O14" i="3" s="1"/>
  <c r="D15" i="3"/>
  <c r="O188" i="3"/>
  <c r="O22" i="3"/>
  <c r="O13" i="3"/>
  <c r="O20" i="3"/>
  <c r="O12" i="3"/>
  <c r="O208" i="3"/>
  <c r="L15" i="3"/>
  <c r="C96" i="3"/>
  <c r="O15" i="3" l="1"/>
</calcChain>
</file>

<file path=xl/comments1.xml><?xml version="1.0" encoding="utf-8"?>
<comments xmlns="http://schemas.openxmlformats.org/spreadsheetml/2006/main">
  <authors>
    <author>WINLEONIC</author>
  </authors>
  <commentList>
    <comment ref="M174" authorId="0">
      <text>
        <r>
          <rPr>
            <b/>
            <sz val="9"/>
            <color indexed="81"/>
            <rFont val="Tahoma"/>
            <family val="2"/>
          </rPr>
          <t>WINLEONIC:</t>
        </r>
        <r>
          <rPr>
            <sz val="9"/>
            <color indexed="81"/>
            <rFont val="Tahoma"/>
            <family val="2"/>
          </rPr>
          <t xml:space="preserve">
toma camas de gineco</t>
        </r>
      </text>
    </comment>
  </commentList>
</comments>
</file>

<file path=xl/comments2.xml><?xml version="1.0" encoding="utf-8"?>
<comments xmlns="http://schemas.openxmlformats.org/spreadsheetml/2006/main">
  <authors>
    <author>WINLEONIC</author>
  </authors>
  <commentList>
    <comment ref="M174" authorId="0">
      <text>
        <r>
          <rPr>
            <b/>
            <sz val="9"/>
            <color indexed="81"/>
            <rFont val="Tahoma"/>
            <family val="2"/>
          </rPr>
          <t>WINLEONIC:</t>
        </r>
        <r>
          <rPr>
            <sz val="9"/>
            <color indexed="81"/>
            <rFont val="Tahoma"/>
            <family val="2"/>
          </rPr>
          <t xml:space="preserve">
toma camas de gineco</t>
        </r>
      </text>
    </comment>
  </commentList>
</comments>
</file>

<file path=xl/comments3.xml><?xml version="1.0" encoding="utf-8"?>
<comments xmlns="http://schemas.openxmlformats.org/spreadsheetml/2006/main">
  <authors>
    <author>Unidad de Estadistica</author>
  </authors>
  <commentList>
    <comment ref="O15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56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80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02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2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46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68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203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225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247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</commentList>
</comments>
</file>

<file path=xl/comments4.xml><?xml version="1.0" encoding="utf-8"?>
<comments xmlns="http://schemas.openxmlformats.org/spreadsheetml/2006/main">
  <authors>
    <author>Unidad de Estadistica</author>
  </authors>
  <commentList>
    <comment ref="O13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52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7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9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1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3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5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87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207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227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</commentList>
</comments>
</file>

<file path=xl/comments5.xml><?xml version="1.0" encoding="utf-8"?>
<comments xmlns="http://schemas.openxmlformats.org/spreadsheetml/2006/main">
  <authors>
    <author>Unidad de Estadistica</author>
  </authors>
  <commentList>
    <comment ref="O13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52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7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9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1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3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54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187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207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  <comment ref="O227" authorId="0">
      <text>
        <r>
          <rPr>
            <b/>
            <sz val="8"/>
            <color indexed="81"/>
            <rFont val="Tahoma"/>
            <family val="2"/>
          </rPr>
          <t>Unidad de Estadistica:</t>
        </r>
        <r>
          <rPr>
            <sz val="8"/>
            <color indexed="81"/>
            <rFont val="Tahoma"/>
            <family val="2"/>
          </rPr>
          <t xml:space="preserve">
OJO: 
Esta celda tiene validez solo cuando se haya culminado el año. </t>
        </r>
      </text>
    </comment>
  </commentList>
</comments>
</file>

<file path=xl/sharedStrings.xml><?xml version="1.0" encoding="utf-8"?>
<sst xmlns="http://schemas.openxmlformats.org/spreadsheetml/2006/main" count="2715" uniqueCount="119">
  <si>
    <t xml:space="preserve">EGRESOS  HOSPITALARIOS  DEL HOSPITAL GENERAL DE HUACHO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</si>
  <si>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</si>
  <si>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</si>
  <si>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</si>
  <si>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</si>
  <si>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</si>
  <si>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</si>
  <si>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</si>
  <si>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</si>
  <si>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</si>
  <si>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</si>
  <si>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</si>
  <si>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</si>
  <si>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</si>
  <si>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Nº CAMA</t>
  </si>
  <si>
    <t>INGRESO</t>
  </si>
  <si>
    <t>EGRESOS</t>
  </si>
  <si>
    <t>DIAS CAMA DISPONIBLE</t>
  </si>
  <si>
    <t>DIAS ESTANCIAS</t>
  </si>
  <si>
    <t>PERMANENCIAS</t>
  </si>
  <si>
    <t>PACIENTE DIA (Censo)</t>
  </si>
  <si>
    <t>PROMEDIO PERMANENCIA    Est. (3 - 5)</t>
  </si>
  <si>
    <t/>
  </si>
  <si>
    <t>RENDIMIENTO CAMA   Est. (6 - 9)</t>
  </si>
  <si>
    <t>INTERVALO DE SUSTITUCION</t>
  </si>
  <si>
    <t>% DE OCUPACION DE CAMA    Est. (80 - 90)</t>
  </si>
  <si>
    <t>FALLECIDOS</t>
  </si>
  <si>
    <t>&gt; 48 HORAS</t>
  </si>
  <si>
    <t>&lt; 48 HORAS</t>
  </si>
  <si>
    <t>MORTALIDAD BRUTA</t>
  </si>
  <si>
    <t>MORTALIDAD NETA</t>
  </si>
  <si>
    <t>INFECCIONES INTRAHOSPITALARIA</t>
  </si>
  <si>
    <t>% DE INFECCIONES INTRAHOSPITALARIA</t>
  </si>
  <si>
    <t xml:space="preserve">TOTAL DE PARTOS </t>
  </si>
  <si>
    <t>RN VIVOS</t>
  </si>
  <si>
    <t>ABORTOS</t>
  </si>
  <si>
    <t>CESARIAS</t>
  </si>
  <si>
    <t>LEGRADOS X ABORTO</t>
  </si>
  <si>
    <t>AMEU</t>
  </si>
  <si>
    <t>partos complicados sin cesaria</t>
  </si>
  <si>
    <t>total partos normales</t>
  </si>
  <si>
    <t>parto domiciliario</t>
  </si>
  <si>
    <t>partos en adolescentes</t>
  </si>
  <si>
    <t>NEONATOS FALLECIDOS &lt; 7 DIAS</t>
  </si>
  <si>
    <t>MUERTES MATERNAS EVITADAS</t>
  </si>
  <si>
    <t>MUERTES NEONATALES &lt;24 HORAS</t>
  </si>
  <si>
    <r>
      <t xml:space="preserve">FUENTE : </t>
    </r>
    <r>
      <rPr>
        <sz val="10"/>
        <rFont val="Cambria"/>
        <family val="1"/>
        <scheme val="major"/>
      </rPr>
      <t>EGRESOS HOSPITALARIOS</t>
    </r>
  </si>
  <si>
    <r>
      <rPr>
        <b/>
        <sz val="11"/>
        <color theme="1"/>
        <rFont val="Calibri"/>
        <family val="2"/>
        <scheme val="minor"/>
      </rPr>
      <t xml:space="preserve">        ESTADÍSTICO</t>
    </r>
    <r>
      <rPr>
        <sz val="11"/>
        <color theme="1"/>
        <rFont val="Calibri"/>
        <family val="2"/>
        <scheme val="minor"/>
      </rPr>
      <t xml:space="preserve">  :  </t>
    </r>
    <r>
      <rPr>
        <b/>
        <sz val="11"/>
        <color rgb="FF0000FF"/>
        <rFont val="Calibri"/>
        <family val="2"/>
        <scheme val="minor"/>
      </rPr>
      <t>EDWIN E. JARA AGUERO</t>
    </r>
  </si>
  <si>
    <r>
      <t xml:space="preserve">AREA      : </t>
    </r>
    <r>
      <rPr>
        <sz val="10"/>
        <rFont val="Cambria"/>
        <family val="1"/>
        <scheme val="major"/>
      </rPr>
      <t>ESTADÍSTICA</t>
    </r>
  </si>
  <si>
    <t>MOVIMIENTO DE HOSPITALIZACION</t>
  </si>
  <si>
    <t>MEDICINA</t>
  </si>
  <si>
    <t xml:space="preserve">PACIENTE DIA-censo diario   </t>
  </si>
  <si>
    <t>&gt;  48 HORAS</t>
  </si>
  <si>
    <t>&lt;   48 HORAS</t>
  </si>
  <si>
    <t>CIRUGIA</t>
  </si>
  <si>
    <t>NEONATOLOGIA          A + B</t>
  </si>
  <si>
    <t>PEDIATRIA</t>
  </si>
  <si>
    <t>GINECOLOGIA</t>
  </si>
  <si>
    <t>OBSTETRICIA</t>
  </si>
  <si>
    <t>PACIENTE DIA (censo)</t>
  </si>
  <si>
    <t>PARTOS</t>
  </si>
  <si>
    <t>NEONATOS FALLECIDOS DE 1 A 7 DIAS</t>
  </si>
  <si>
    <t>UCI</t>
  </si>
  <si>
    <t>UCI - NEONATAL          A</t>
  </si>
  <si>
    <t>INTERMEDIO I-II          B</t>
  </si>
  <si>
    <t xml:space="preserve">U </t>
  </si>
  <si>
    <t>NEONATOLOGIA</t>
  </si>
  <si>
    <t>UCI - NEONATAL</t>
  </si>
  <si>
    <t>INTERMEDIO I-II</t>
  </si>
  <si>
    <t xml:space="preserve">EGRESOS  HOSPITALARIOS  DEL HOSPITAL GENERAL HUACHO </t>
  </si>
  <si>
    <t>INGRESOS</t>
  </si>
  <si>
    <t>RAZON DE REEMPLAZO</t>
  </si>
  <si>
    <t>% OCUPACION DE CAMA</t>
  </si>
  <si>
    <r>
      <t xml:space="preserve">AREA      : </t>
    </r>
    <r>
      <rPr>
        <sz val="10"/>
        <rFont val="Cambria"/>
        <family val="1"/>
        <scheme val="major"/>
      </rPr>
      <t>PROCESAMIENTO DE DATOS</t>
    </r>
  </si>
  <si>
    <t>RAZON</t>
  </si>
  <si>
    <t>PROMEDIO PERMANENCIA</t>
  </si>
  <si>
    <t>OCUPACION DE CAMA</t>
  </si>
  <si>
    <t>RENDIMIENTO CAMA</t>
  </si>
  <si>
    <t>% DE OCUPACION</t>
  </si>
  <si>
    <t>&gt;48 HORAS</t>
  </si>
  <si>
    <t>&lt;</t>
  </si>
  <si>
    <t>LEGRADOS POR OTRAS CAUSAS</t>
  </si>
  <si>
    <t>partos en sala de espera</t>
  </si>
  <si>
    <t>DIAGMOSTICO CONFIRMADO</t>
  </si>
  <si>
    <t>REGION DE SALUD</t>
  </si>
  <si>
    <t>MINISTERIO DE SALUD</t>
  </si>
  <si>
    <t>HOSPITAL GENERAL HUACHO</t>
  </si>
  <si>
    <t>UNIDAD DE ESTADISTICA E INFORMATICA</t>
  </si>
  <si>
    <t>MOVIMIENTO DE HOSPITALIZACION   - 2014</t>
  </si>
  <si>
    <t>% DE OCUPACION(censo diario)</t>
  </si>
  <si>
    <t>MOVIMIENTO DE  HOSPITALIZACION -  2014</t>
  </si>
  <si>
    <t>PACIENTE DIA(censo)</t>
  </si>
  <si>
    <t>% DE OCUPACION(censo)</t>
  </si>
  <si>
    <t>MOVIMIENTO DE HOSPITALIZACION 2014</t>
  </si>
  <si>
    <t>OCUPACION DE CAMA (censo)</t>
  </si>
  <si>
    <t>DIAGNOSTICO CONFIRMADO</t>
  </si>
  <si>
    <t>MOVIMIENTO DE HOSPITALIZACION  -  2014</t>
  </si>
  <si>
    <t>PACIENTE DIA (CENSO)</t>
  </si>
  <si>
    <t>OCUPACION DE CAMA(censo)</t>
  </si>
  <si>
    <t>PACIENTE DIA  (censo)</t>
  </si>
  <si>
    <t>PACIENTE DIA</t>
  </si>
  <si>
    <t>6 camas</t>
  </si>
  <si>
    <t xml:space="preserve">PORCENTAGE  DE OCUPACION </t>
  </si>
  <si>
    <t>PORCENTAGE  DE OCUPACION (censo)</t>
  </si>
  <si>
    <t>4 camas</t>
  </si>
  <si>
    <t>UCI  NEONATAL</t>
  </si>
  <si>
    <t>PACIENTE DIA  (CENSO DIARIO)</t>
  </si>
  <si>
    <t>INTERMEDIO  I-II</t>
  </si>
  <si>
    <t>MOVIMIENTO DE HOSPITALIZACION   - 2013</t>
  </si>
  <si>
    <t>MOVIMIENTO DE  HOSPITALIZACION -  2013</t>
  </si>
  <si>
    <t>MOVIMIENTO DE HOSPITALIZACION 2013</t>
  </si>
  <si>
    <t>MOVIMIENTO DE HOSPITALIZACION  -  2013</t>
  </si>
  <si>
    <t>% DE OCUPACION censo</t>
  </si>
  <si>
    <t>MOVIMIENTO DE HOSPITALIZACION   - 2012</t>
  </si>
  <si>
    <t>MOVIMIENTO DE  HOSPITALIZACION -  2012</t>
  </si>
  <si>
    <t>MOVIMIENTO DE HOSPITALIZACION 2012</t>
  </si>
  <si>
    <t>MOVIMIENTO DE HOSPITALIZACION  -  2012</t>
  </si>
  <si>
    <t>6.23.</t>
  </si>
  <si>
    <t>AISLADO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</si>
</sst>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6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0"/>
      <color rgb="FF0000FF"/>
      <name val="Cambria"/>
      <family val="1"/>
      <scheme val="major"/>
    </font>
    <font>
      <b/>
      <sz val="11"/>
      <color rgb="FF0000FF"/>
      <name val="Cambria"/>
      <family val="1"/>
      <scheme val="major"/>
    </font>
    <font>
      <b/>
      <sz val="11"/>
      <color rgb="FF0000FF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</cellStyleXfs>
  <cellXfs count="202">
    <xf numFmtId="0" fontId="0" fillId="0" borderId="0" xfId="0"/>
    <xf numFmtId="0" fontId="0" fillId="0" borderId="0" xfId="0"/>
    <xf numFmtId="0" fontId="2" fillId="0" borderId="0" xfId="0" applyFont="1"/>
    <xf numFmtId="0" fontId="12" fillId="0" borderId="1" xfId="0" applyFont="1" applyFill="1" applyBorder="1" applyAlignment="1">
      <alignment horizontal="center" vertical="center"/>
    </xf>
    <xf numFmtId="0" fontId="0" fillId="0" borderId="0" xfId="0" applyFont="1"/>
    <xf numFmtId="0" fontId="15" fillId="0" borderId="0" xfId="0" applyFont="1"/>
    <xf numFmtId="0" fontId="13" fillId="0" borderId="0" xfId="0" applyFont="1" applyFill="1" applyBorder="1"/>
    <xf numFmtId="0" fontId="3" fillId="0" borderId="0" xfId="0" applyFont="1"/>
    <xf numFmtId="0" fontId="10" fillId="0" borderId="6" xfId="0" applyFont="1" applyBorder="1"/>
    <xf numFmtId="0" fontId="10" fillId="0" borderId="6" xfId="0" applyFont="1" applyFill="1" applyBorder="1"/>
    <xf numFmtId="0" fontId="16" fillId="2" borderId="6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Border="1"/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3" borderId="6" xfId="0" applyFont="1" applyFill="1" applyBorder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2" fontId="13" fillId="3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1" fontId="8" fillId="0" borderId="26" xfId="0" applyNumberFormat="1" applyFont="1" applyFill="1" applyBorder="1" applyAlignment="1">
      <alignment horizontal="center" vertical="center"/>
    </xf>
    <xf numFmtId="1" fontId="12" fillId="0" borderId="26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31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0" fillId="0" borderId="7" xfId="0" applyFont="1" applyFill="1" applyBorder="1"/>
    <xf numFmtId="0" fontId="10" fillId="3" borderId="7" xfId="0" applyFont="1" applyFill="1" applyBorder="1"/>
    <xf numFmtId="0" fontId="10" fillId="0" borderId="21" xfId="0" applyFont="1" applyBorder="1"/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2" fontId="13" fillId="3" borderId="19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7" fillId="3" borderId="11" xfId="0" applyNumberFormat="1" applyFont="1" applyFill="1" applyBorder="1" applyAlignment="1">
      <alignment horizontal="center" vertical="center"/>
    </xf>
    <xf numFmtId="2" fontId="9" fillId="3" borderId="27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2" fontId="7" fillId="5" borderId="11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0" fontId="9" fillId="3" borderId="1" xfId="1" applyNumberFormat="1" applyFont="1" applyFill="1" applyBorder="1" applyAlignment="1">
      <alignment horizontal="center" vertical="center"/>
    </xf>
    <xf numFmtId="10" fontId="9" fillId="3" borderId="4" xfId="1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9" fillId="3" borderId="2" xfId="1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3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1" fontId="7" fillId="0" borderId="38" xfId="0" applyNumberFormat="1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2" fontId="7" fillId="3" borderId="16" xfId="0" applyNumberFormat="1" applyFont="1" applyFill="1" applyBorder="1" applyAlignment="1">
      <alignment horizontal="center" vertical="center"/>
    </xf>
    <xf numFmtId="2" fontId="7" fillId="5" borderId="16" xfId="0" applyNumberFormat="1" applyFont="1" applyFill="1" applyBorder="1" applyAlignment="1">
      <alignment horizontal="center" vertical="center"/>
    </xf>
    <xf numFmtId="1" fontId="8" fillId="0" borderId="39" xfId="0" applyNumberFormat="1" applyFont="1" applyFill="1" applyBorder="1" applyAlignment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9" fontId="0" fillId="0" borderId="0" xfId="0" applyNumberFormat="1"/>
    <xf numFmtId="0" fontId="24" fillId="0" borderId="1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24" fillId="0" borderId="1" xfId="0" applyFont="1" applyBorder="1"/>
    <xf numFmtId="0" fontId="0" fillId="0" borderId="1" xfId="0" applyFill="1" applyBorder="1"/>
    <xf numFmtId="0" fontId="26" fillId="4" borderId="1" xfId="0" applyFont="1" applyFill="1" applyBorder="1"/>
    <xf numFmtId="0" fontId="24" fillId="0" borderId="1" xfId="0" applyFont="1" applyFill="1" applyBorder="1"/>
    <xf numFmtId="1" fontId="0" fillId="0" borderId="1" xfId="0" applyNumberFormat="1" applyFill="1" applyBorder="1"/>
    <xf numFmtId="1" fontId="26" fillId="4" borderId="1" xfId="0" applyNumberFormat="1" applyFont="1" applyFill="1" applyBorder="1"/>
    <xf numFmtId="2" fontId="0" fillId="0" borderId="1" xfId="0" applyNumberFormat="1" applyFill="1" applyBorder="1"/>
    <xf numFmtId="2" fontId="26" fillId="4" borderId="1" xfId="0" applyNumberFormat="1" applyFont="1" applyFill="1" applyBorder="1"/>
    <xf numFmtId="0" fontId="24" fillId="6" borderId="1" xfId="0" applyFont="1" applyFill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0" applyFont="1" applyFill="1" applyBorder="1"/>
    <xf numFmtId="0" fontId="24" fillId="0" borderId="0" xfId="0" applyFont="1" applyFill="1" applyBorder="1"/>
    <xf numFmtId="0" fontId="24" fillId="0" borderId="0" xfId="0" applyFont="1" applyFill="1"/>
    <xf numFmtId="0" fontId="0" fillId="0" borderId="0" xfId="0" applyFill="1"/>
    <xf numFmtId="0" fontId="26" fillId="4" borderId="0" xfId="0" applyFont="1" applyFill="1"/>
    <xf numFmtId="0" fontId="24" fillId="0" borderId="0" xfId="0" applyFont="1"/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2" fillId="0" borderId="1" xfId="0" applyFont="1" applyFill="1" applyBorder="1"/>
    <xf numFmtId="0" fontId="33" fillId="0" borderId="1" xfId="0" applyFont="1" applyFill="1" applyBorder="1"/>
    <xf numFmtId="0" fontId="32" fillId="4" borderId="1" xfId="0" applyFont="1" applyFill="1" applyBorder="1"/>
    <xf numFmtId="0" fontId="33" fillId="4" borderId="1" xfId="0" applyFont="1" applyFill="1" applyBorder="1"/>
    <xf numFmtId="2" fontId="34" fillId="0" borderId="1" xfId="0" applyNumberFormat="1" applyFont="1" applyFill="1" applyBorder="1"/>
    <xf numFmtId="2" fontId="33" fillId="0" borderId="1" xfId="0" applyNumberFormat="1" applyFont="1" applyFill="1" applyBorder="1"/>
    <xf numFmtId="2" fontId="32" fillId="4" borderId="1" xfId="0" applyNumberFormat="1" applyFont="1" applyFill="1" applyBorder="1"/>
    <xf numFmtId="0" fontId="2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26" fillId="4" borderId="0" xfId="0" applyFont="1" applyFill="1" applyBorder="1"/>
    <xf numFmtId="0" fontId="27" fillId="0" borderId="1" xfId="0" applyFont="1" applyFill="1" applyBorder="1"/>
    <xf numFmtId="0" fontId="0" fillId="4" borderId="1" xfId="0" applyFill="1" applyBorder="1"/>
    <xf numFmtId="0" fontId="35" fillId="0" borderId="0" xfId="0" applyFont="1" applyBorder="1"/>
    <xf numFmtId="0" fontId="36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35" fillId="0" borderId="0" xfId="0" applyFont="1"/>
    <xf numFmtId="0" fontId="25" fillId="4" borderId="0" xfId="0" applyFont="1" applyFill="1"/>
    <xf numFmtId="165" fontId="26" fillId="4" borderId="1" xfId="0" applyNumberFormat="1" applyFont="1" applyFill="1" applyBorder="1"/>
    <xf numFmtId="165" fontId="0" fillId="0" borderId="1" xfId="0" applyNumberFormat="1" applyFill="1" applyBorder="1"/>
    <xf numFmtId="0" fontId="23" fillId="0" borderId="0" xfId="0" applyFont="1" applyFill="1" applyAlignment="1"/>
    <xf numFmtId="0" fontId="23" fillId="0" borderId="0" xfId="0" applyFont="1" applyFill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25" fillId="4" borderId="1" xfId="0" applyFont="1" applyFill="1" applyBorder="1" applyAlignment="1">
      <alignment horizontal="center" wrapText="1"/>
    </xf>
    <xf numFmtId="1" fontId="0" fillId="4" borderId="1" xfId="0" applyNumberFormat="1" applyFill="1" applyBorder="1"/>
    <xf numFmtId="0" fontId="4" fillId="0" borderId="0" xfId="0" applyFont="1" applyFill="1"/>
    <xf numFmtId="0" fontId="24" fillId="0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24" fillId="7" borderId="1" xfId="0" applyFont="1" applyFill="1" applyBorder="1"/>
    <xf numFmtId="0" fontId="0" fillId="7" borderId="1" xfId="0" applyFill="1" applyBorder="1"/>
    <xf numFmtId="0" fontId="24" fillId="8" borderId="1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/>
    <xf numFmtId="0" fontId="24" fillId="0" borderId="1" xfId="4" applyFont="1" applyFill="1" applyBorder="1"/>
    <xf numFmtId="0" fontId="4" fillId="0" borderId="1" xfId="4" applyFont="1" applyFill="1" applyBorder="1"/>
    <xf numFmtId="0" fontId="28" fillId="0" borderId="1" xfId="0" applyFont="1" applyFill="1" applyBorder="1"/>
    <xf numFmtId="0" fontId="3" fillId="0" borderId="0" xfId="0" applyFont="1" applyFill="1"/>
    <xf numFmtId="0" fontId="4" fillId="0" borderId="1" xfId="5" applyFill="1" applyBorder="1"/>
    <xf numFmtId="0" fontId="4" fillId="0" borderId="1" xfId="5" applyFont="1" applyFill="1" applyBorder="1"/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6">
    <cellStyle name="Normal" xfId="0" builtinId="0"/>
    <cellStyle name="Normal 10" xfId="5"/>
    <cellStyle name="Normal 11" xfId="4"/>
    <cellStyle name="Normal 3" xfId="3"/>
    <cellStyle name="Normal 5" xfId="2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WIN%20J/INDICADORES%20HOSPITALARIOS/INFORMACION%20-%202015/Indicadores%20Hospitalarios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DWIN%20J/INDICADORES%20HOSPITALARIOS/INFORMACION%20-%202016/Indicadores%20Hospitalarios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DWIN%20J/INDICADORES%20HOSPITALARIOS/INFORMACION%20-%202017/INDICADORES%20HOSPITALARI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ndicadores"/>
      <sheetName val="POBLACIÓN"/>
      <sheetName val="ATENCIONES"/>
      <sheetName val="ATENC - MEDICAS"/>
      <sheetName val="ATENC PARA IMPRIMIR"/>
      <sheetName val="DESTINO EMERG."/>
      <sheetName val="ATENC. EMERG."/>
      <sheetName val="TOPICOS - EMERG"/>
      <sheetName val="EGRESOS HOSP"/>
      <sheetName val="FARMACIA"/>
      <sheetName val="RAYOS X"/>
      <sheetName val="LABORATORIO"/>
      <sheetName val="PATOLOGIA"/>
      <sheetName val="NUTRI - LAVAN - AMBUL"/>
      <sheetName val="LIMPIEZA"/>
      <sheetName val="SERV. GENERALES"/>
    </sheetNames>
    <sheetDataSet>
      <sheetData sheetId="0">
        <row r="4">
          <cell r="M4">
            <v>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ndicadores"/>
      <sheetName val="Poblacion"/>
      <sheetName val="ATENCIONES"/>
      <sheetName val="ATENC - MEDICAS"/>
      <sheetName val="ATENC PARA IMPRIMIR"/>
      <sheetName val="DESTINO EMERG."/>
      <sheetName val="ATENC. EMERG."/>
      <sheetName val="TOPICOS - EMERG"/>
      <sheetName val="Para el SIS"/>
      <sheetName val="Para Laboratorio"/>
      <sheetName val="EGRESOS HOSP"/>
      <sheetName val="Intervenciones Qx"/>
      <sheetName val="FARMACIA"/>
      <sheetName val="RAYOS X"/>
      <sheetName val="LABORATORIO"/>
      <sheetName val="PATOLOGIA"/>
      <sheetName val="NUTRICION"/>
      <sheetName val="AMBULANCIA Y CAMIONETAS"/>
      <sheetName val="LAVANDERIA"/>
      <sheetName val="LIMPIEZA"/>
      <sheetName val="SERV. GENERALES"/>
    </sheetNames>
    <sheetDataSet>
      <sheetData sheetId="0">
        <row r="4">
          <cell r="M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ndicadores"/>
      <sheetName val="POBLACIÓN"/>
      <sheetName val="ATENCIONES"/>
      <sheetName val="ATENC - MEDICAS"/>
      <sheetName val="ATENC PARA IMPRIMIR"/>
      <sheetName val="DESTINO EMERG."/>
      <sheetName val="ATENC. EMERG."/>
      <sheetName val="ATC EMERG. NUEVO"/>
      <sheetName val="TOPICOS - EMERG"/>
      <sheetName val="EGRESOS HOSP"/>
      <sheetName val="Para Laboratorio"/>
      <sheetName val="Para el SIS"/>
      <sheetName val="Intervenciones Qx"/>
      <sheetName val="FARMACIA"/>
      <sheetName val="RAYOS X"/>
      <sheetName val="LABORATORIO"/>
      <sheetName val="PATOLOGIA"/>
      <sheetName val="NUTRICION"/>
      <sheetName val="AMBULANCIA Y CAMIONETAS"/>
      <sheetName val="LAVANDERIA"/>
      <sheetName val="LIMPIEZA"/>
      <sheetName val="SERV. GENERALES"/>
    </sheetNames>
    <sheetDataSet>
      <sheetData sheetId="0">
        <row r="4">
          <cell r="I4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O281"/>
  <sheetViews>
    <sheetView workbookViewId="0">
      <selection activeCell="E18" sqref="E18"/>
    </sheetView>
  </sheetViews>
  <sheetFormatPr baseColWidth="10" defaultRowHeight="15" x14ac:dyDescent="0.25"/>
  <cols>
    <col min="1" max="1" width="3.85546875" style="139" customWidth="1"/>
    <col min="2" max="2" width="30.5703125" style="139" bestFit="1" customWidth="1"/>
    <col min="3" max="14" width="10.140625" style="139" customWidth="1"/>
    <col min="15" max="16384" width="11.42578125" style="139"/>
  </cols>
  <sheetData>
    <row r="2" spans="2:15" ht="18" x14ac:dyDescent="0.25">
      <c r="B2" s="191" t="s">
        <v>69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2:15" ht="15.75" x14ac:dyDescent="0.25">
      <c r="B3" s="192">
        <v>2012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2:15" x14ac:dyDescent="0.25">
      <c r="C4" s="123" t="s">
        <v>1</v>
      </c>
      <c r="D4" s="123" t="s">
        <v>2</v>
      </c>
      <c r="E4" s="123" t="s">
        <v>3</v>
      </c>
      <c r="F4" s="123" t="s">
        <v>4</v>
      </c>
      <c r="G4" s="123" t="s">
        <v>5</v>
      </c>
      <c r="H4" s="123" t="s">
        <v>6</v>
      </c>
      <c r="I4" s="123" t="s">
        <v>7</v>
      </c>
      <c r="J4" s="123" t="s">
        <v>8</v>
      </c>
      <c r="K4" s="123" t="s">
        <v>9</v>
      </c>
      <c r="L4" s="123" t="s">
        <v>10</v>
      </c>
      <c r="M4" s="123" t="s">
        <v>11</v>
      </c>
      <c r="N4" s="123" t="s">
        <v>12</v>
      </c>
      <c r="O4" s="123" t="s">
        <v>13</v>
      </c>
    </row>
    <row r="5" spans="2:15" x14ac:dyDescent="0.25">
      <c r="B5" s="128" t="s">
        <v>14</v>
      </c>
      <c r="C5" s="126">
        <f t="shared" ref="C5:N5" si="0">C48+C72+C94+C116+C138+C160+C199</f>
        <v>176</v>
      </c>
      <c r="D5" s="126">
        <f t="shared" si="0"/>
        <v>176</v>
      </c>
      <c r="E5" s="126">
        <f t="shared" si="0"/>
        <v>176</v>
      </c>
      <c r="F5" s="126">
        <f t="shared" si="0"/>
        <v>176</v>
      </c>
      <c r="G5" s="126">
        <f t="shared" si="0"/>
        <v>176</v>
      </c>
      <c r="H5" s="126">
        <f t="shared" si="0"/>
        <v>176</v>
      </c>
      <c r="I5" s="126">
        <f t="shared" si="0"/>
        <v>176</v>
      </c>
      <c r="J5" s="126">
        <f t="shared" si="0"/>
        <v>176</v>
      </c>
      <c r="K5" s="126">
        <f t="shared" si="0"/>
        <v>176</v>
      </c>
      <c r="L5" s="126">
        <f t="shared" si="0"/>
        <v>176</v>
      </c>
      <c r="M5" s="126">
        <f t="shared" si="0"/>
        <v>176</v>
      </c>
      <c r="N5" s="126">
        <f t="shared" si="0"/>
        <v>176</v>
      </c>
      <c r="O5" s="126">
        <v>176</v>
      </c>
    </row>
    <row r="6" spans="2:15" x14ac:dyDescent="0.25">
      <c r="B6" s="128" t="s">
        <v>15</v>
      </c>
      <c r="C6" s="126">
        <f t="shared" ref="C6:N6" si="1">+C49+C73+C95+C117+C139+C161+C200</f>
        <v>787</v>
      </c>
      <c r="D6" s="126">
        <f t="shared" si="1"/>
        <v>718</v>
      </c>
      <c r="E6" s="126">
        <f t="shared" si="1"/>
        <v>712</v>
      </c>
      <c r="F6" s="126">
        <f t="shared" si="1"/>
        <v>712</v>
      </c>
      <c r="G6" s="126">
        <f t="shared" si="1"/>
        <v>751</v>
      </c>
      <c r="H6" s="126">
        <f t="shared" si="1"/>
        <v>719</v>
      </c>
      <c r="I6" s="126">
        <f t="shared" si="1"/>
        <v>726</v>
      </c>
      <c r="J6" s="126">
        <f t="shared" si="1"/>
        <v>725</v>
      </c>
      <c r="K6" s="126">
        <f t="shared" si="1"/>
        <v>604</v>
      </c>
      <c r="L6" s="126">
        <f t="shared" si="1"/>
        <v>643</v>
      </c>
      <c r="M6" s="126">
        <f t="shared" si="1"/>
        <v>717</v>
      </c>
      <c r="N6" s="126">
        <f t="shared" si="1"/>
        <v>661</v>
      </c>
      <c r="O6" s="126">
        <f>SUM(C6:N6)</f>
        <v>8475</v>
      </c>
    </row>
    <row r="7" spans="2:15" x14ac:dyDescent="0.25">
      <c r="B7" s="128" t="s">
        <v>16</v>
      </c>
      <c r="C7" s="126">
        <f t="shared" ref="C7:N7" si="2">+C50+C74+C96+C118+C140+C162+C201</f>
        <v>759</v>
      </c>
      <c r="D7" s="126">
        <f t="shared" si="2"/>
        <v>685</v>
      </c>
      <c r="E7" s="126">
        <f t="shared" si="2"/>
        <v>718</v>
      </c>
      <c r="F7" s="126">
        <f t="shared" si="2"/>
        <v>673</v>
      </c>
      <c r="G7" s="126">
        <f t="shared" si="2"/>
        <v>736</v>
      </c>
      <c r="H7" s="126">
        <f t="shared" si="2"/>
        <v>739</v>
      </c>
      <c r="I7" s="126">
        <f t="shared" si="2"/>
        <v>729</v>
      </c>
      <c r="J7" s="126">
        <f t="shared" si="2"/>
        <v>730</v>
      </c>
      <c r="K7" s="126">
        <f t="shared" si="2"/>
        <v>607</v>
      </c>
      <c r="L7" s="126">
        <f t="shared" si="2"/>
        <v>611</v>
      </c>
      <c r="M7" s="126">
        <f t="shared" si="2"/>
        <v>705</v>
      </c>
      <c r="N7" s="126">
        <f t="shared" si="2"/>
        <v>683</v>
      </c>
      <c r="O7" s="126">
        <f t="shared" ref="O7:O10" si="3">SUM(C7:N7)</f>
        <v>8375</v>
      </c>
    </row>
    <row r="8" spans="2:15" x14ac:dyDescent="0.25">
      <c r="B8" s="128" t="s">
        <v>17</v>
      </c>
      <c r="C8" s="126">
        <f t="shared" ref="C8:N8" si="4">+C51+C75+C97+C119+C141+C163+C202</f>
        <v>5456</v>
      </c>
      <c r="D8" s="126">
        <f t="shared" si="4"/>
        <v>5104</v>
      </c>
      <c r="E8" s="126">
        <f t="shared" si="4"/>
        <v>5456</v>
      </c>
      <c r="F8" s="126">
        <f t="shared" si="4"/>
        <v>5280</v>
      </c>
      <c r="G8" s="126">
        <f t="shared" si="4"/>
        <v>5456</v>
      </c>
      <c r="H8" s="126">
        <f t="shared" si="4"/>
        <v>5280</v>
      </c>
      <c r="I8" s="126">
        <f t="shared" si="4"/>
        <v>5456</v>
      </c>
      <c r="J8" s="126">
        <f t="shared" si="4"/>
        <v>5456</v>
      </c>
      <c r="K8" s="126">
        <f t="shared" si="4"/>
        <v>5280</v>
      </c>
      <c r="L8" s="126">
        <f t="shared" si="4"/>
        <v>5456</v>
      </c>
      <c r="M8" s="126">
        <f t="shared" si="4"/>
        <v>5280</v>
      </c>
      <c r="N8" s="126">
        <f t="shared" si="4"/>
        <v>5456</v>
      </c>
      <c r="O8" s="126">
        <f t="shared" si="3"/>
        <v>64416</v>
      </c>
    </row>
    <row r="9" spans="2:15" x14ac:dyDescent="0.25">
      <c r="B9" s="128" t="s">
        <v>18</v>
      </c>
      <c r="C9" s="126">
        <f t="shared" ref="C9:N9" si="5">+C52+C76+C98+C120+C142+C164+C203</f>
        <v>2528</v>
      </c>
      <c r="D9" s="126">
        <f t="shared" si="5"/>
        <v>2176</v>
      </c>
      <c r="E9" s="126">
        <f t="shared" si="5"/>
        <v>2475</v>
      </c>
      <c r="F9" s="126">
        <f t="shared" si="5"/>
        <v>2036</v>
      </c>
      <c r="G9" s="126">
        <f t="shared" si="5"/>
        <v>2459</v>
      </c>
      <c r="H9" s="126">
        <f t="shared" si="5"/>
        <v>2279</v>
      </c>
      <c r="I9" s="126">
        <f t="shared" si="5"/>
        <v>2235</v>
      </c>
      <c r="J9" s="126">
        <f t="shared" si="5"/>
        <v>2173</v>
      </c>
      <c r="K9" s="126">
        <f t="shared" si="5"/>
        <v>1833</v>
      </c>
      <c r="L9" s="126">
        <f t="shared" si="5"/>
        <v>1887</v>
      </c>
      <c r="M9" s="126">
        <f t="shared" si="5"/>
        <v>2318</v>
      </c>
      <c r="N9" s="126">
        <f t="shared" si="5"/>
        <v>1999</v>
      </c>
      <c r="O9" s="126">
        <f>SUM(C9:N9)</f>
        <v>26398</v>
      </c>
    </row>
    <row r="10" spans="2:15" x14ac:dyDescent="0.25">
      <c r="B10" s="128" t="s">
        <v>19</v>
      </c>
      <c r="C10" s="126">
        <f t="shared" ref="C10:N10" si="6">+C53+C77+C99+C121+C143+C165+C204</f>
        <v>2792</v>
      </c>
      <c r="D10" s="126">
        <f t="shared" si="6"/>
        <v>2666</v>
      </c>
      <c r="E10" s="126">
        <f t="shared" si="6"/>
        <v>3177</v>
      </c>
      <c r="F10" s="126">
        <f t="shared" si="6"/>
        <v>2435</v>
      </c>
      <c r="G10" s="126">
        <f t="shared" si="6"/>
        <v>2990</v>
      </c>
      <c r="H10" s="126">
        <f t="shared" si="6"/>
        <v>2814</v>
      </c>
      <c r="I10" s="126">
        <f t="shared" si="6"/>
        <v>2806</v>
      </c>
      <c r="J10" s="126">
        <f t="shared" si="6"/>
        <v>2947</v>
      </c>
      <c r="K10" s="126">
        <f t="shared" si="6"/>
        <v>2229</v>
      </c>
      <c r="L10" s="126">
        <f t="shared" si="6"/>
        <v>2466</v>
      </c>
      <c r="M10" s="126">
        <f t="shared" si="6"/>
        <v>2707</v>
      </c>
      <c r="N10" s="126">
        <f t="shared" si="6"/>
        <v>2644</v>
      </c>
      <c r="O10" s="126">
        <f t="shared" si="3"/>
        <v>32673</v>
      </c>
    </row>
    <row r="11" spans="2:15" x14ac:dyDescent="0.25">
      <c r="B11" s="128" t="s">
        <v>20</v>
      </c>
      <c r="C11" s="129">
        <f t="shared" ref="C11:N11" si="7">+C54+C78+C100+C122+C144+C168+C205</f>
        <v>2481</v>
      </c>
      <c r="D11" s="129">
        <f t="shared" si="7"/>
        <v>2429</v>
      </c>
      <c r="E11" s="129">
        <f t="shared" si="7"/>
        <v>2421</v>
      </c>
      <c r="F11" s="129">
        <f t="shared" si="7"/>
        <v>2548</v>
      </c>
      <c r="G11" s="129">
        <f t="shared" si="7"/>
        <v>2976</v>
      </c>
      <c r="H11" s="129">
        <f t="shared" si="7"/>
        <v>2680</v>
      </c>
      <c r="I11" s="129">
        <f t="shared" si="7"/>
        <v>2644</v>
      </c>
      <c r="J11" s="129">
        <f t="shared" si="7"/>
        <v>2669</v>
      </c>
      <c r="K11" s="129">
        <f t="shared" si="7"/>
        <v>2301</v>
      </c>
      <c r="L11" s="129">
        <f t="shared" si="7"/>
        <v>2402</v>
      </c>
      <c r="M11" s="129">
        <f t="shared" si="7"/>
        <v>2534</v>
      </c>
      <c r="N11" s="129">
        <f t="shared" si="7"/>
        <v>2214</v>
      </c>
      <c r="O11" s="129">
        <f>SUM(C11:N11)</f>
        <v>30299</v>
      </c>
    </row>
    <row r="12" spans="2:15" x14ac:dyDescent="0.25">
      <c r="B12" s="128" t="s">
        <v>74</v>
      </c>
      <c r="C12" s="131">
        <f t="shared" ref="C12:O12" si="8">C9/C7</f>
        <v>3.3306982872200264</v>
      </c>
      <c r="D12" s="131">
        <f t="shared" si="8"/>
        <v>3.1766423357664233</v>
      </c>
      <c r="E12" s="131">
        <f t="shared" si="8"/>
        <v>3.4470752089136489</v>
      </c>
      <c r="F12" s="131">
        <f t="shared" si="8"/>
        <v>3.0252600297176819</v>
      </c>
      <c r="G12" s="131">
        <f t="shared" si="8"/>
        <v>3.3410326086956523</v>
      </c>
      <c r="H12" s="131">
        <f t="shared" si="8"/>
        <v>3.0838971583220567</v>
      </c>
      <c r="I12" s="131">
        <f t="shared" si="8"/>
        <v>3.0658436213991771</v>
      </c>
      <c r="J12" s="131">
        <f t="shared" si="8"/>
        <v>2.9767123287671233</v>
      </c>
      <c r="K12" s="131">
        <f t="shared" si="8"/>
        <v>3.0197693574958815</v>
      </c>
      <c r="L12" s="131">
        <f t="shared" si="8"/>
        <v>3.0883797054009818</v>
      </c>
      <c r="M12" s="131">
        <f t="shared" si="8"/>
        <v>3.2879432624113476</v>
      </c>
      <c r="N12" s="131">
        <f t="shared" si="8"/>
        <v>2.9267935578330895</v>
      </c>
      <c r="O12" s="131">
        <f t="shared" si="8"/>
        <v>3.1520000000000001</v>
      </c>
    </row>
    <row r="13" spans="2:15" x14ac:dyDescent="0.25">
      <c r="B13" s="128" t="s">
        <v>75</v>
      </c>
      <c r="C13" s="131">
        <f>C9/C7</f>
        <v>3.3306982872200264</v>
      </c>
      <c r="D13" s="131">
        <f t="shared" ref="D13:O13" si="9">D9/D7</f>
        <v>3.1766423357664233</v>
      </c>
      <c r="E13" s="131">
        <f t="shared" si="9"/>
        <v>3.4470752089136489</v>
      </c>
      <c r="F13" s="131">
        <f t="shared" si="9"/>
        <v>3.0252600297176819</v>
      </c>
      <c r="G13" s="131">
        <f t="shared" si="9"/>
        <v>3.3410326086956523</v>
      </c>
      <c r="H13" s="131">
        <f t="shared" si="9"/>
        <v>3.0838971583220567</v>
      </c>
      <c r="I13" s="131">
        <f t="shared" si="9"/>
        <v>3.0658436213991771</v>
      </c>
      <c r="J13" s="131">
        <f t="shared" si="9"/>
        <v>2.9767123287671233</v>
      </c>
      <c r="K13" s="131">
        <f t="shared" si="9"/>
        <v>3.0197693574958815</v>
      </c>
      <c r="L13" s="131">
        <f t="shared" si="9"/>
        <v>3.0883797054009818</v>
      </c>
      <c r="M13" s="131">
        <f t="shared" si="9"/>
        <v>3.2879432624113476</v>
      </c>
      <c r="N13" s="131">
        <f t="shared" si="9"/>
        <v>2.9267935578330895</v>
      </c>
      <c r="O13" s="131">
        <f t="shared" si="9"/>
        <v>3.1520000000000001</v>
      </c>
    </row>
    <row r="14" spans="2:15" x14ac:dyDescent="0.25">
      <c r="B14" s="128" t="s">
        <v>76</v>
      </c>
      <c r="C14" s="131">
        <f>C10/C8*100</f>
        <v>51.173020527859236</v>
      </c>
      <c r="D14" s="131">
        <f t="shared" ref="D14:N14" si="10">D10/D8*100</f>
        <v>52.233542319749219</v>
      </c>
      <c r="E14" s="131">
        <f t="shared" si="10"/>
        <v>58.229472140762461</v>
      </c>
      <c r="F14" s="131">
        <f t="shared" si="10"/>
        <v>46.117424242424242</v>
      </c>
      <c r="G14" s="131">
        <f t="shared" si="10"/>
        <v>54.802052785923749</v>
      </c>
      <c r="H14" s="131">
        <f t="shared" si="10"/>
        <v>53.295454545454547</v>
      </c>
      <c r="I14" s="131">
        <f t="shared" si="10"/>
        <v>51.429618768328446</v>
      </c>
      <c r="J14" s="131">
        <f t="shared" si="10"/>
        <v>54.01392961876833</v>
      </c>
      <c r="K14" s="131">
        <f>K10/K8*100</f>
        <v>42.215909090909093</v>
      </c>
      <c r="L14" s="131">
        <f t="shared" si="10"/>
        <v>45.197947214076244</v>
      </c>
      <c r="M14" s="131">
        <f t="shared" si="10"/>
        <v>51.268939393939391</v>
      </c>
      <c r="N14" s="131">
        <f t="shared" si="10"/>
        <v>48.460410557184751</v>
      </c>
      <c r="O14" s="131">
        <f>O10/O8*100</f>
        <v>50.721870342771979</v>
      </c>
    </row>
    <row r="15" spans="2:15" x14ac:dyDescent="0.25">
      <c r="B15" s="128" t="s">
        <v>77</v>
      </c>
      <c r="C15" s="131">
        <f>C7/C5</f>
        <v>4.3125</v>
      </c>
      <c r="D15" s="131">
        <f>D7/D5</f>
        <v>3.8920454545454546</v>
      </c>
      <c r="E15" s="131">
        <f>E7/E5</f>
        <v>4.0795454545454541</v>
      </c>
      <c r="F15" s="131">
        <f t="shared" ref="F15:N15" si="11">F7/F5</f>
        <v>3.8238636363636362</v>
      </c>
      <c r="G15" s="131">
        <f t="shared" si="11"/>
        <v>4.1818181818181817</v>
      </c>
      <c r="H15" s="131">
        <f t="shared" si="11"/>
        <v>4.1988636363636367</v>
      </c>
      <c r="I15" s="131">
        <f t="shared" si="11"/>
        <v>4.1420454545454541</v>
      </c>
      <c r="J15" s="131">
        <f t="shared" si="11"/>
        <v>4.1477272727272725</v>
      </c>
      <c r="K15" s="131">
        <f t="shared" si="11"/>
        <v>3.4488636363636362</v>
      </c>
      <c r="L15" s="131">
        <f t="shared" si="11"/>
        <v>3.4715909090909092</v>
      </c>
      <c r="M15" s="131">
        <f t="shared" si="11"/>
        <v>4.0056818181818183</v>
      </c>
      <c r="N15" s="131">
        <f t="shared" si="11"/>
        <v>3.8806818181818183</v>
      </c>
      <c r="O15" s="131">
        <f>O7/O5</f>
        <v>47.585227272727273</v>
      </c>
    </row>
    <row r="16" spans="2:15" x14ac:dyDescent="0.25">
      <c r="B16" s="128" t="s">
        <v>24</v>
      </c>
      <c r="C16" s="189">
        <f>+IF(C7&gt;0,(C8-C11)/C7,"")</f>
        <v>3.9196310935441372</v>
      </c>
      <c r="D16" s="189">
        <f t="shared" ref="D16:O16" si="12">+IF(D7&gt;0,(D8-D11)/D7,"")</f>
        <v>3.9051094890510947</v>
      </c>
      <c r="E16" s="189">
        <f t="shared" si="12"/>
        <v>4.227019498607242</v>
      </c>
      <c r="F16" s="189">
        <f t="shared" si="12"/>
        <v>4.0594353640416045</v>
      </c>
      <c r="G16" s="189">
        <f t="shared" si="12"/>
        <v>3.3695652173913042</v>
      </c>
      <c r="H16" s="189">
        <f t="shared" si="12"/>
        <v>3.5182679296346415</v>
      </c>
      <c r="I16" s="189">
        <f t="shared" si="12"/>
        <v>3.8573388203017833</v>
      </c>
      <c r="J16" s="189">
        <f t="shared" si="12"/>
        <v>3.8178082191780822</v>
      </c>
      <c r="K16" s="189">
        <f t="shared" si="12"/>
        <v>4.9077429983525533</v>
      </c>
      <c r="L16" s="189">
        <f t="shared" si="12"/>
        <v>4.9983633387888711</v>
      </c>
      <c r="M16" s="189">
        <f t="shared" si="12"/>
        <v>3.8950354609929079</v>
      </c>
      <c r="N16" s="189">
        <f t="shared" si="12"/>
        <v>4.7467057101024892</v>
      </c>
      <c r="O16" s="189">
        <f t="shared" si="12"/>
        <v>4.0736716417910444</v>
      </c>
    </row>
    <row r="17" spans="2:15" x14ac:dyDescent="0.25">
      <c r="B17" s="156" t="s">
        <v>112</v>
      </c>
      <c r="C17" s="131">
        <f>C11/C8*100</f>
        <v>45.472873900293251</v>
      </c>
      <c r="D17" s="131">
        <f t="shared" ref="D17:N17" si="13">D11/D8*100</f>
        <v>47.590125391849533</v>
      </c>
      <c r="E17" s="131">
        <f t="shared" si="13"/>
        <v>44.373167155425222</v>
      </c>
      <c r="F17" s="131">
        <f t="shared" si="13"/>
        <v>48.257575757575758</v>
      </c>
      <c r="G17" s="131">
        <f t="shared" si="13"/>
        <v>54.54545454545454</v>
      </c>
      <c r="H17" s="131">
        <f t="shared" si="13"/>
        <v>50.757575757575758</v>
      </c>
      <c r="I17" s="131">
        <f t="shared" si="13"/>
        <v>48.460410557184751</v>
      </c>
      <c r="J17" s="131">
        <f t="shared" si="13"/>
        <v>48.918621700879768</v>
      </c>
      <c r="K17" s="131">
        <f t="shared" si="13"/>
        <v>43.579545454545453</v>
      </c>
      <c r="L17" s="131">
        <f t="shared" si="13"/>
        <v>44.024926686217007</v>
      </c>
      <c r="M17" s="131">
        <f t="shared" si="13"/>
        <v>47.992424242424242</v>
      </c>
      <c r="N17" s="131">
        <f t="shared" si="13"/>
        <v>40.579178885630498</v>
      </c>
      <c r="O17" s="131">
        <f>O11/O8*100</f>
        <v>47.036450571286636</v>
      </c>
    </row>
    <row r="18" spans="2:15" x14ac:dyDescent="0.25">
      <c r="B18" s="128" t="s">
        <v>26</v>
      </c>
      <c r="C18" s="126">
        <f t="shared" ref="C18:N18" si="14">+C61+C85+C107+C129+C151+C175+C212</f>
        <v>10</v>
      </c>
      <c r="D18" s="126">
        <f t="shared" si="14"/>
        <v>15</v>
      </c>
      <c r="E18" s="126">
        <f t="shared" si="14"/>
        <v>12</v>
      </c>
      <c r="F18" s="126">
        <f t="shared" si="14"/>
        <v>16</v>
      </c>
      <c r="G18" s="126">
        <f t="shared" si="14"/>
        <v>10</v>
      </c>
      <c r="H18" s="126">
        <f t="shared" si="14"/>
        <v>15</v>
      </c>
      <c r="I18" s="126">
        <f t="shared" si="14"/>
        <v>11</v>
      </c>
      <c r="J18" s="126">
        <f t="shared" si="14"/>
        <v>17</v>
      </c>
      <c r="K18" s="126">
        <f t="shared" si="14"/>
        <v>18</v>
      </c>
      <c r="L18" s="126">
        <f t="shared" si="14"/>
        <v>11</v>
      </c>
      <c r="M18" s="126">
        <f t="shared" si="14"/>
        <v>12</v>
      </c>
      <c r="N18" s="126">
        <f t="shared" si="14"/>
        <v>12</v>
      </c>
      <c r="O18" s="126">
        <f>SUM(C18:N18)</f>
        <v>159</v>
      </c>
    </row>
    <row r="19" spans="2:15" x14ac:dyDescent="0.25">
      <c r="B19" s="128" t="s">
        <v>79</v>
      </c>
      <c r="C19" s="126">
        <f t="shared" ref="C19:N19" si="15">+C62+C86+C108+C130+C152+C176+C213</f>
        <v>7</v>
      </c>
      <c r="D19" s="126">
        <f t="shared" si="15"/>
        <v>14</v>
      </c>
      <c r="E19" s="126">
        <f t="shared" si="15"/>
        <v>5</v>
      </c>
      <c r="F19" s="126">
        <f t="shared" si="15"/>
        <v>8</v>
      </c>
      <c r="G19" s="126">
        <f t="shared" si="15"/>
        <v>5</v>
      </c>
      <c r="H19" s="126">
        <f t="shared" si="15"/>
        <v>12</v>
      </c>
      <c r="I19" s="126">
        <f t="shared" si="15"/>
        <v>10</v>
      </c>
      <c r="J19" s="126">
        <f t="shared" si="15"/>
        <v>15</v>
      </c>
      <c r="K19" s="126">
        <f t="shared" si="15"/>
        <v>9</v>
      </c>
      <c r="L19" s="126">
        <f t="shared" si="15"/>
        <v>5</v>
      </c>
      <c r="M19" s="126">
        <f t="shared" si="15"/>
        <v>11</v>
      </c>
      <c r="N19" s="126">
        <f t="shared" si="15"/>
        <v>8</v>
      </c>
      <c r="O19" s="126">
        <f t="shared" ref="O19:O38" si="16">SUM(C19:N19)</f>
        <v>109</v>
      </c>
    </row>
    <row r="20" spans="2:15" x14ac:dyDescent="0.25">
      <c r="B20" s="128" t="s">
        <v>80</v>
      </c>
      <c r="C20" s="126">
        <f t="shared" ref="C20:N20" si="17">+C63+C87+C109+C131+C153+C177+C214</f>
        <v>3</v>
      </c>
      <c r="D20" s="126">
        <f t="shared" si="17"/>
        <v>1</v>
      </c>
      <c r="E20" s="126">
        <f t="shared" si="17"/>
        <v>7</v>
      </c>
      <c r="F20" s="126">
        <f t="shared" si="17"/>
        <v>8</v>
      </c>
      <c r="G20" s="126">
        <f t="shared" si="17"/>
        <v>5</v>
      </c>
      <c r="H20" s="126">
        <f t="shared" si="17"/>
        <v>3</v>
      </c>
      <c r="I20" s="126">
        <f t="shared" si="17"/>
        <v>1</v>
      </c>
      <c r="J20" s="126">
        <f t="shared" si="17"/>
        <v>2</v>
      </c>
      <c r="K20" s="126">
        <f t="shared" si="17"/>
        <v>9</v>
      </c>
      <c r="L20" s="126">
        <f t="shared" si="17"/>
        <v>6</v>
      </c>
      <c r="M20" s="126">
        <f t="shared" si="17"/>
        <v>1</v>
      </c>
      <c r="N20" s="126">
        <f t="shared" si="17"/>
        <v>4</v>
      </c>
      <c r="O20" s="126">
        <f t="shared" si="16"/>
        <v>50</v>
      </c>
    </row>
    <row r="21" spans="2:15" x14ac:dyDescent="0.25">
      <c r="B21" s="128" t="s">
        <v>29</v>
      </c>
      <c r="C21" s="131">
        <f>C18/C7*100</f>
        <v>1.3175230566534915</v>
      </c>
      <c r="D21" s="131">
        <f t="shared" ref="D21:O21" si="18">D18/D7*100</f>
        <v>2.1897810218978102</v>
      </c>
      <c r="E21" s="131">
        <f t="shared" si="18"/>
        <v>1.6713091922005572</v>
      </c>
      <c r="F21" s="131">
        <f t="shared" si="18"/>
        <v>2.3774145616641902</v>
      </c>
      <c r="G21" s="131">
        <f t="shared" si="18"/>
        <v>1.3586956521739131</v>
      </c>
      <c r="H21" s="131">
        <f t="shared" si="18"/>
        <v>2.029769959404601</v>
      </c>
      <c r="I21" s="131">
        <f t="shared" si="18"/>
        <v>1.5089163237311385</v>
      </c>
      <c r="J21" s="131">
        <f t="shared" si="18"/>
        <v>2.3287671232876712</v>
      </c>
      <c r="K21" s="131">
        <f t="shared" si="18"/>
        <v>2.9654036243822075</v>
      </c>
      <c r="L21" s="131">
        <f t="shared" si="18"/>
        <v>1.800327332242226</v>
      </c>
      <c r="M21" s="131">
        <f t="shared" si="18"/>
        <v>1.7021276595744681</v>
      </c>
      <c r="N21" s="131">
        <f t="shared" si="18"/>
        <v>1.7569546120058566</v>
      </c>
      <c r="O21" s="131">
        <f t="shared" si="18"/>
        <v>1.8985074626865672</v>
      </c>
    </row>
    <row r="22" spans="2:15" x14ac:dyDescent="0.25">
      <c r="B22" s="128" t="s">
        <v>30</v>
      </c>
      <c r="C22" s="131">
        <f>C19/C7*100</f>
        <v>0.92226613965744397</v>
      </c>
      <c r="D22" s="131">
        <f t="shared" ref="D22:O22" si="19">D19/D7*100</f>
        <v>2.0437956204379564</v>
      </c>
      <c r="E22" s="131">
        <f t="shared" si="19"/>
        <v>0.69637883008356549</v>
      </c>
      <c r="F22" s="131">
        <f t="shared" si="19"/>
        <v>1.1887072808320951</v>
      </c>
      <c r="G22" s="131">
        <f t="shared" si="19"/>
        <v>0.67934782608695654</v>
      </c>
      <c r="H22" s="131">
        <f t="shared" si="19"/>
        <v>1.6238159675236805</v>
      </c>
      <c r="I22" s="131">
        <f t="shared" si="19"/>
        <v>1.3717421124828533</v>
      </c>
      <c r="J22" s="131">
        <f t="shared" si="19"/>
        <v>2.054794520547945</v>
      </c>
      <c r="K22" s="131">
        <f t="shared" si="19"/>
        <v>1.4827018121911038</v>
      </c>
      <c r="L22" s="131">
        <f t="shared" si="19"/>
        <v>0.81833060556464821</v>
      </c>
      <c r="M22" s="131">
        <f t="shared" si="19"/>
        <v>1.5602836879432624</v>
      </c>
      <c r="N22" s="131">
        <f t="shared" si="19"/>
        <v>1.171303074670571</v>
      </c>
      <c r="O22" s="131">
        <f t="shared" si="19"/>
        <v>1.301492537313433</v>
      </c>
    </row>
    <row r="23" spans="2:15" x14ac:dyDescent="0.25">
      <c r="B23" s="128" t="s">
        <v>31</v>
      </c>
      <c r="C23" s="126">
        <f t="shared" ref="C23:O23" si="20">+C66+C88+C110+C132+C154+C178+C215</f>
        <v>0</v>
      </c>
      <c r="D23" s="126">
        <f t="shared" si="20"/>
        <v>2</v>
      </c>
      <c r="E23" s="126">
        <f t="shared" si="20"/>
        <v>0</v>
      </c>
      <c r="F23" s="126">
        <f t="shared" si="20"/>
        <v>1</v>
      </c>
      <c r="G23" s="126">
        <f t="shared" si="20"/>
        <v>3</v>
      </c>
      <c r="H23" s="126">
        <f t="shared" si="20"/>
        <v>3</v>
      </c>
      <c r="I23" s="126">
        <f t="shared" si="20"/>
        <v>0</v>
      </c>
      <c r="J23" s="126">
        <f t="shared" si="20"/>
        <v>1</v>
      </c>
      <c r="K23" s="126">
        <f t="shared" si="20"/>
        <v>3</v>
      </c>
      <c r="L23" s="126">
        <f t="shared" si="20"/>
        <v>0</v>
      </c>
      <c r="M23" s="126">
        <f t="shared" si="20"/>
        <v>1</v>
      </c>
      <c r="N23" s="126">
        <f t="shared" si="20"/>
        <v>0</v>
      </c>
      <c r="O23" s="126">
        <f t="shared" si="20"/>
        <v>14</v>
      </c>
    </row>
    <row r="24" spans="2:15" x14ac:dyDescent="0.25">
      <c r="B24" s="128" t="s">
        <v>32</v>
      </c>
      <c r="C24" s="131">
        <f>C23*100/C7</f>
        <v>0</v>
      </c>
      <c r="D24" s="131">
        <f t="shared" ref="D24:K24" si="21">D23*100/D7</f>
        <v>0.29197080291970801</v>
      </c>
      <c r="E24" s="131">
        <f t="shared" si="21"/>
        <v>0</v>
      </c>
      <c r="F24" s="131">
        <f t="shared" si="21"/>
        <v>0.14858841010401189</v>
      </c>
      <c r="G24" s="131">
        <f t="shared" si="21"/>
        <v>0.40760869565217389</v>
      </c>
      <c r="H24" s="131">
        <f t="shared" si="21"/>
        <v>0.40595399188092018</v>
      </c>
      <c r="I24" s="131">
        <f t="shared" si="21"/>
        <v>0</v>
      </c>
      <c r="J24" s="131">
        <f t="shared" si="21"/>
        <v>0.13698630136986301</v>
      </c>
      <c r="K24" s="131">
        <f t="shared" si="21"/>
        <v>0.49423393739703458</v>
      </c>
      <c r="L24" s="131">
        <f>L23*100/L7</f>
        <v>0</v>
      </c>
      <c r="M24" s="131">
        <f t="shared" ref="M24:O24" si="22">M23*100/M7</f>
        <v>0.14184397163120568</v>
      </c>
      <c r="N24" s="131">
        <f t="shared" si="22"/>
        <v>0</v>
      </c>
      <c r="O24" s="131">
        <f t="shared" si="22"/>
        <v>0.16716417910447762</v>
      </c>
    </row>
    <row r="25" spans="2:15" x14ac:dyDescent="0.25">
      <c r="B25" s="128" t="s">
        <v>33</v>
      </c>
      <c r="C25" s="126">
        <f t="shared" ref="C25:N37" si="23">+C179</f>
        <v>255</v>
      </c>
      <c r="D25" s="126">
        <f t="shared" si="23"/>
        <v>211</v>
      </c>
      <c r="E25" s="126">
        <f t="shared" si="23"/>
        <v>231</v>
      </c>
      <c r="F25" s="126">
        <f t="shared" si="23"/>
        <v>229</v>
      </c>
      <c r="G25" s="126">
        <f t="shared" si="23"/>
        <v>238</v>
      </c>
      <c r="H25" s="126">
        <f t="shared" si="23"/>
        <v>217</v>
      </c>
      <c r="I25" s="126">
        <f t="shared" si="23"/>
        <v>238</v>
      </c>
      <c r="J25" s="126">
        <f t="shared" si="23"/>
        <v>235</v>
      </c>
      <c r="K25" s="126">
        <f t="shared" si="23"/>
        <v>207</v>
      </c>
      <c r="L25" s="126">
        <f t="shared" si="23"/>
        <v>214</v>
      </c>
      <c r="M25" s="126">
        <f t="shared" si="23"/>
        <v>226</v>
      </c>
      <c r="N25" s="126">
        <f t="shared" si="23"/>
        <v>202</v>
      </c>
      <c r="O25" s="126">
        <f t="shared" si="16"/>
        <v>2703</v>
      </c>
    </row>
    <row r="26" spans="2:15" x14ac:dyDescent="0.25">
      <c r="B26" s="128" t="s">
        <v>34</v>
      </c>
      <c r="C26" s="126">
        <f t="shared" si="23"/>
        <v>258</v>
      </c>
      <c r="D26" s="126">
        <f t="shared" si="23"/>
        <v>213</v>
      </c>
      <c r="E26" s="126">
        <f t="shared" si="23"/>
        <v>233</v>
      </c>
      <c r="F26" s="126">
        <f t="shared" si="23"/>
        <v>227</v>
      </c>
      <c r="G26" s="126">
        <f t="shared" si="23"/>
        <v>239</v>
      </c>
      <c r="H26" s="126">
        <f t="shared" si="23"/>
        <v>219</v>
      </c>
      <c r="I26" s="126">
        <f t="shared" si="23"/>
        <v>239</v>
      </c>
      <c r="J26" s="126">
        <f t="shared" si="23"/>
        <v>234</v>
      </c>
      <c r="K26" s="126">
        <f t="shared" si="23"/>
        <v>210</v>
      </c>
      <c r="L26" s="126">
        <f t="shared" si="23"/>
        <v>214</v>
      </c>
      <c r="M26" s="126">
        <f t="shared" si="23"/>
        <v>228</v>
      </c>
      <c r="N26" s="126">
        <f t="shared" si="23"/>
        <v>204</v>
      </c>
      <c r="O26" s="126">
        <f t="shared" si="16"/>
        <v>2718</v>
      </c>
    </row>
    <row r="27" spans="2:15" x14ac:dyDescent="0.25">
      <c r="B27" s="128" t="s">
        <v>35</v>
      </c>
      <c r="C27" s="126">
        <f t="shared" si="23"/>
        <v>58</v>
      </c>
      <c r="D27" s="126">
        <f t="shared" si="23"/>
        <v>59</v>
      </c>
      <c r="E27" s="126">
        <f t="shared" si="23"/>
        <v>47</v>
      </c>
      <c r="F27" s="126">
        <f t="shared" si="23"/>
        <v>48</v>
      </c>
      <c r="G27" s="126">
        <f t="shared" si="23"/>
        <v>46</v>
      </c>
      <c r="H27" s="126">
        <f t="shared" si="23"/>
        <v>53</v>
      </c>
      <c r="I27" s="126">
        <f t="shared" si="23"/>
        <v>59</v>
      </c>
      <c r="J27" s="126">
        <f t="shared" si="23"/>
        <v>55</v>
      </c>
      <c r="K27" s="126">
        <f t="shared" si="23"/>
        <v>36</v>
      </c>
      <c r="L27" s="126">
        <f t="shared" si="23"/>
        <v>44</v>
      </c>
      <c r="M27" s="126">
        <f t="shared" si="23"/>
        <v>53</v>
      </c>
      <c r="N27" s="126">
        <f t="shared" si="23"/>
        <v>48</v>
      </c>
      <c r="O27" s="126">
        <f t="shared" si="16"/>
        <v>606</v>
      </c>
    </row>
    <row r="28" spans="2:15" x14ac:dyDescent="0.25">
      <c r="B28" s="128" t="s">
        <v>36</v>
      </c>
      <c r="C28" s="126">
        <f t="shared" si="23"/>
        <v>68</v>
      </c>
      <c r="D28" s="126">
        <f t="shared" si="23"/>
        <v>64</v>
      </c>
      <c r="E28" s="126">
        <f t="shared" si="23"/>
        <v>82</v>
      </c>
      <c r="F28" s="126">
        <f t="shared" si="23"/>
        <v>73</v>
      </c>
      <c r="G28" s="126">
        <f t="shared" si="23"/>
        <v>81</v>
      </c>
      <c r="H28" s="126">
        <f t="shared" si="23"/>
        <v>73</v>
      </c>
      <c r="I28" s="126">
        <f t="shared" si="23"/>
        <v>81</v>
      </c>
      <c r="J28" s="126">
        <f t="shared" si="23"/>
        <v>99</v>
      </c>
      <c r="K28" s="126">
        <f t="shared" si="23"/>
        <v>77</v>
      </c>
      <c r="L28" s="126">
        <f t="shared" si="23"/>
        <v>76</v>
      </c>
      <c r="M28" s="126">
        <f t="shared" si="23"/>
        <v>96</v>
      </c>
      <c r="N28" s="126">
        <f t="shared" si="23"/>
        <v>63</v>
      </c>
      <c r="O28" s="126">
        <f t="shared" si="16"/>
        <v>933</v>
      </c>
    </row>
    <row r="29" spans="2:15" x14ac:dyDescent="0.25">
      <c r="B29" s="128" t="s">
        <v>37</v>
      </c>
      <c r="C29" s="126">
        <f t="shared" si="23"/>
        <v>58</v>
      </c>
      <c r="D29" s="126">
        <f>+D183</f>
        <v>59</v>
      </c>
      <c r="E29" s="126">
        <f>+E183</f>
        <v>47</v>
      </c>
      <c r="F29" s="126">
        <f t="shared" si="23"/>
        <v>48</v>
      </c>
      <c r="G29" s="126">
        <f t="shared" si="23"/>
        <v>46</v>
      </c>
      <c r="H29" s="126">
        <f t="shared" si="23"/>
        <v>53</v>
      </c>
      <c r="I29" s="126">
        <f t="shared" si="23"/>
        <v>59</v>
      </c>
      <c r="J29" s="126">
        <f t="shared" si="23"/>
        <v>55</v>
      </c>
      <c r="K29" s="126">
        <f t="shared" si="23"/>
        <v>36</v>
      </c>
      <c r="L29" s="126">
        <f t="shared" si="23"/>
        <v>44</v>
      </c>
      <c r="M29" s="126">
        <f t="shared" si="23"/>
        <v>53</v>
      </c>
      <c r="N29" s="126">
        <f t="shared" si="23"/>
        <v>48</v>
      </c>
      <c r="O29" s="126">
        <f t="shared" si="16"/>
        <v>606</v>
      </c>
    </row>
    <row r="30" spans="2:15" x14ac:dyDescent="0.25">
      <c r="B30" s="128" t="s">
        <v>81</v>
      </c>
      <c r="C30" s="126">
        <f t="shared" si="23"/>
        <v>12</v>
      </c>
      <c r="D30" s="126">
        <f t="shared" si="23"/>
        <v>6</v>
      </c>
      <c r="E30" s="126">
        <f t="shared" si="23"/>
        <v>6</v>
      </c>
      <c r="F30" s="126">
        <f t="shared" si="23"/>
        <v>2</v>
      </c>
      <c r="G30" s="126">
        <f t="shared" si="23"/>
        <v>5</v>
      </c>
      <c r="H30" s="126">
        <f t="shared" si="23"/>
        <v>2</v>
      </c>
      <c r="I30" s="126">
        <f t="shared" si="23"/>
        <v>3</v>
      </c>
      <c r="J30" s="126">
        <f t="shared" si="23"/>
        <v>6</v>
      </c>
      <c r="K30" s="126">
        <f t="shared" si="23"/>
        <v>2</v>
      </c>
      <c r="L30" s="126">
        <f t="shared" si="23"/>
        <v>2</v>
      </c>
      <c r="M30" s="126">
        <f t="shared" si="23"/>
        <v>5</v>
      </c>
      <c r="N30" s="126">
        <f t="shared" si="23"/>
        <v>2</v>
      </c>
      <c r="O30" s="126">
        <f t="shared" si="16"/>
        <v>53</v>
      </c>
    </row>
    <row r="31" spans="2:15" x14ac:dyDescent="0.25">
      <c r="B31" s="128" t="s">
        <v>39</v>
      </c>
      <c r="C31" s="126">
        <f t="shared" si="23"/>
        <v>17</v>
      </c>
      <c r="D31" s="126">
        <f t="shared" si="23"/>
        <v>11</v>
      </c>
      <c r="E31" s="126">
        <f t="shared" si="23"/>
        <v>10</v>
      </c>
      <c r="F31" s="126">
        <f t="shared" si="23"/>
        <v>7</v>
      </c>
      <c r="G31" s="126">
        <f t="shared" si="23"/>
        <v>3</v>
      </c>
      <c r="H31" s="126">
        <f t="shared" si="23"/>
        <v>10</v>
      </c>
      <c r="I31" s="126">
        <f t="shared" si="23"/>
        <v>4</v>
      </c>
      <c r="J31" s="126">
        <f t="shared" si="23"/>
        <v>7</v>
      </c>
      <c r="K31" s="126">
        <f t="shared" si="23"/>
        <v>3</v>
      </c>
      <c r="L31" s="126">
        <f t="shared" si="23"/>
        <v>7</v>
      </c>
      <c r="M31" s="126">
        <f t="shared" si="23"/>
        <v>6</v>
      </c>
      <c r="N31" s="126">
        <f t="shared" si="23"/>
        <v>4</v>
      </c>
      <c r="O31" s="126">
        <f t="shared" si="16"/>
        <v>89</v>
      </c>
    </row>
    <row r="32" spans="2:15" x14ac:dyDescent="0.25">
      <c r="B32" s="128" t="s">
        <v>40</v>
      </c>
      <c r="C32" s="126">
        <f t="shared" si="23"/>
        <v>187</v>
      </c>
      <c r="D32" s="126">
        <f t="shared" si="23"/>
        <v>147</v>
      </c>
      <c r="E32" s="126">
        <f t="shared" si="23"/>
        <v>149</v>
      </c>
      <c r="F32" s="126">
        <f t="shared" si="23"/>
        <v>156</v>
      </c>
      <c r="G32" s="126">
        <f t="shared" si="23"/>
        <v>157</v>
      </c>
      <c r="H32" s="126">
        <f t="shared" si="23"/>
        <v>144</v>
      </c>
      <c r="I32" s="126">
        <f t="shared" si="23"/>
        <v>157</v>
      </c>
      <c r="J32" s="126">
        <f t="shared" si="23"/>
        <v>136</v>
      </c>
      <c r="K32" s="126">
        <f t="shared" si="23"/>
        <v>130</v>
      </c>
      <c r="L32" s="126">
        <f t="shared" si="23"/>
        <v>138</v>
      </c>
      <c r="M32" s="126">
        <f t="shared" si="23"/>
        <v>130</v>
      </c>
      <c r="N32" s="126">
        <f t="shared" si="23"/>
        <v>139</v>
      </c>
      <c r="O32" s="126">
        <f t="shared" si="16"/>
        <v>1770</v>
      </c>
    </row>
    <row r="33" spans="2:15" x14ac:dyDescent="0.25">
      <c r="B33" s="128" t="s">
        <v>41</v>
      </c>
      <c r="C33" s="126">
        <f t="shared" si="23"/>
        <v>0</v>
      </c>
      <c r="D33" s="126">
        <f t="shared" si="23"/>
        <v>0</v>
      </c>
      <c r="E33" s="126">
        <f t="shared" si="23"/>
        <v>0</v>
      </c>
      <c r="F33" s="126">
        <f t="shared" si="23"/>
        <v>0</v>
      </c>
      <c r="G33" s="126">
        <f t="shared" si="23"/>
        <v>0</v>
      </c>
      <c r="H33" s="126">
        <f t="shared" si="23"/>
        <v>0</v>
      </c>
      <c r="I33" s="126">
        <f t="shared" si="23"/>
        <v>0</v>
      </c>
      <c r="J33" s="126">
        <f t="shared" si="23"/>
        <v>0</v>
      </c>
      <c r="K33" s="126">
        <f t="shared" si="23"/>
        <v>0</v>
      </c>
      <c r="L33" s="126">
        <f t="shared" si="23"/>
        <v>0</v>
      </c>
      <c r="M33" s="126">
        <f t="shared" si="23"/>
        <v>0</v>
      </c>
      <c r="N33" s="126">
        <f t="shared" si="23"/>
        <v>0</v>
      </c>
      <c r="O33" s="126">
        <f t="shared" si="16"/>
        <v>0</v>
      </c>
    </row>
    <row r="34" spans="2:15" x14ac:dyDescent="0.25">
      <c r="B34" s="128" t="s">
        <v>82</v>
      </c>
      <c r="C34" s="126">
        <f t="shared" si="23"/>
        <v>0</v>
      </c>
      <c r="D34" s="126">
        <f t="shared" si="23"/>
        <v>0</v>
      </c>
      <c r="E34" s="126">
        <f t="shared" si="23"/>
        <v>0</v>
      </c>
      <c r="F34" s="126">
        <f t="shared" si="23"/>
        <v>0</v>
      </c>
      <c r="G34" s="126">
        <f t="shared" si="23"/>
        <v>0</v>
      </c>
      <c r="H34" s="126">
        <f t="shared" si="23"/>
        <v>0</v>
      </c>
      <c r="I34" s="126">
        <f t="shared" si="23"/>
        <v>0</v>
      </c>
      <c r="J34" s="126">
        <f t="shared" si="23"/>
        <v>0</v>
      </c>
      <c r="K34" s="126">
        <f t="shared" si="23"/>
        <v>0</v>
      </c>
      <c r="L34" s="126">
        <f t="shared" si="23"/>
        <v>0</v>
      </c>
      <c r="M34" s="126">
        <f t="shared" si="23"/>
        <v>0</v>
      </c>
      <c r="N34" s="126">
        <f t="shared" si="23"/>
        <v>0</v>
      </c>
      <c r="O34" s="126">
        <f t="shared" si="16"/>
        <v>0</v>
      </c>
    </row>
    <row r="35" spans="2:15" x14ac:dyDescent="0.25">
      <c r="B35" s="128" t="s">
        <v>42</v>
      </c>
      <c r="C35" s="126">
        <f t="shared" si="23"/>
        <v>58</v>
      </c>
      <c r="D35" s="126">
        <f t="shared" si="23"/>
        <v>51</v>
      </c>
      <c r="E35" s="126">
        <f t="shared" si="23"/>
        <v>22</v>
      </c>
      <c r="F35" s="126">
        <f t="shared" si="23"/>
        <v>14</v>
      </c>
      <c r="G35" s="126">
        <f t="shared" si="23"/>
        <v>34</v>
      </c>
      <c r="H35" s="126">
        <f t="shared" si="23"/>
        <v>19</v>
      </c>
      <c r="I35" s="126">
        <f t="shared" si="23"/>
        <v>34</v>
      </c>
      <c r="J35" s="126">
        <f t="shared" si="23"/>
        <v>25</v>
      </c>
      <c r="K35" s="126">
        <f t="shared" si="23"/>
        <v>23</v>
      </c>
      <c r="L35" s="126">
        <f t="shared" si="23"/>
        <v>25</v>
      </c>
      <c r="M35" s="126">
        <f t="shared" si="23"/>
        <v>25</v>
      </c>
      <c r="N35" s="126">
        <f t="shared" si="23"/>
        <v>17</v>
      </c>
      <c r="O35" s="126">
        <f t="shared" si="16"/>
        <v>347</v>
      </c>
    </row>
    <row r="36" spans="2:15" x14ac:dyDescent="0.25">
      <c r="B36" s="128" t="s">
        <v>43</v>
      </c>
      <c r="C36" s="126">
        <f t="shared" si="23"/>
        <v>0</v>
      </c>
      <c r="D36" s="126">
        <f t="shared" si="23"/>
        <v>0</v>
      </c>
      <c r="E36" s="126">
        <f t="shared" si="23"/>
        <v>1</v>
      </c>
      <c r="F36" s="126">
        <f t="shared" si="23"/>
        <v>0</v>
      </c>
      <c r="G36" s="126">
        <f t="shared" si="23"/>
        <v>0</v>
      </c>
      <c r="H36" s="126">
        <f t="shared" si="23"/>
        <v>2</v>
      </c>
      <c r="I36" s="126">
        <f t="shared" si="23"/>
        <v>0</v>
      </c>
      <c r="J36" s="126">
        <f t="shared" si="23"/>
        <v>1</v>
      </c>
      <c r="K36" s="126">
        <f t="shared" si="23"/>
        <v>1</v>
      </c>
      <c r="L36" s="126">
        <f t="shared" si="23"/>
        <v>0</v>
      </c>
      <c r="M36" s="126">
        <f t="shared" si="23"/>
        <v>1</v>
      </c>
      <c r="N36" s="126">
        <f t="shared" si="23"/>
        <v>0</v>
      </c>
      <c r="O36" s="126">
        <f t="shared" si="16"/>
        <v>6</v>
      </c>
    </row>
    <row r="37" spans="2:15" x14ac:dyDescent="0.25">
      <c r="B37" s="128" t="s">
        <v>44</v>
      </c>
      <c r="C37" s="126">
        <f t="shared" si="23"/>
        <v>6</v>
      </c>
      <c r="D37" s="126">
        <f t="shared" si="23"/>
        <v>3</v>
      </c>
      <c r="E37" s="126">
        <f t="shared" si="23"/>
        <v>4</v>
      </c>
      <c r="F37" s="126">
        <f t="shared" si="23"/>
        <v>5</v>
      </c>
      <c r="G37" s="126">
        <f t="shared" si="23"/>
        <v>0</v>
      </c>
      <c r="H37" s="126">
        <f t="shared" si="23"/>
        <v>4</v>
      </c>
      <c r="I37" s="126">
        <f t="shared" si="23"/>
        <v>4</v>
      </c>
      <c r="J37" s="126">
        <f t="shared" si="23"/>
        <v>7</v>
      </c>
      <c r="K37" s="126">
        <f t="shared" si="23"/>
        <v>3</v>
      </c>
      <c r="L37" s="126">
        <f t="shared" si="23"/>
        <v>0</v>
      </c>
      <c r="M37" s="126">
        <f t="shared" si="23"/>
        <v>4</v>
      </c>
      <c r="N37" s="126">
        <f t="shared" si="23"/>
        <v>0</v>
      </c>
      <c r="O37" s="126">
        <f t="shared" si="16"/>
        <v>40</v>
      </c>
    </row>
    <row r="38" spans="2:15" x14ac:dyDescent="0.25">
      <c r="B38" s="128" t="s">
        <v>83</v>
      </c>
      <c r="C38" s="126">
        <v>749</v>
      </c>
      <c r="D38" s="126">
        <v>657</v>
      </c>
      <c r="E38" s="126">
        <v>694</v>
      </c>
      <c r="F38" s="126">
        <v>644</v>
      </c>
      <c r="G38" s="126">
        <v>716</v>
      </c>
      <c r="H38" s="126">
        <v>710</v>
      </c>
      <c r="I38" s="126">
        <v>702</v>
      </c>
      <c r="J38" s="126">
        <v>697</v>
      </c>
      <c r="K38" s="126">
        <v>580</v>
      </c>
      <c r="L38" s="126">
        <v>587</v>
      </c>
      <c r="M38" s="126">
        <v>685</v>
      </c>
      <c r="N38" s="126">
        <v>661</v>
      </c>
      <c r="O38" s="126">
        <f t="shared" si="16"/>
        <v>8082</v>
      </c>
    </row>
    <row r="39" spans="2:15" x14ac:dyDescent="0.25">
      <c r="B39" s="137"/>
      <c r="C39" s="138"/>
      <c r="D39" s="138"/>
      <c r="E39" s="138"/>
    </row>
    <row r="40" spans="2:15" x14ac:dyDescent="0.25">
      <c r="B40" s="138" t="s">
        <v>84</v>
      </c>
    </row>
    <row r="41" spans="2:15" x14ac:dyDescent="0.25">
      <c r="B41" s="138" t="s">
        <v>85</v>
      </c>
    </row>
    <row r="42" spans="2:15" x14ac:dyDescent="0.25">
      <c r="B42" s="138" t="s">
        <v>86</v>
      </c>
    </row>
    <row r="43" spans="2:15" x14ac:dyDescent="0.25">
      <c r="B43" s="138" t="s">
        <v>87</v>
      </c>
      <c r="C43" s="138"/>
      <c r="D43" s="138"/>
      <c r="E43" s="138"/>
    </row>
    <row r="45" spans="2:15" ht="15.75" x14ac:dyDescent="0.25">
      <c r="B45" s="190" t="s">
        <v>113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</row>
    <row r="46" spans="2:15" x14ac:dyDescent="0.25">
      <c r="B46" s="184"/>
    </row>
    <row r="47" spans="2:15" x14ac:dyDescent="0.25">
      <c r="B47" s="184" t="s">
        <v>50</v>
      </c>
      <c r="C47" s="142" t="s">
        <v>1</v>
      </c>
      <c r="D47" s="142" t="s">
        <v>2</v>
      </c>
      <c r="E47" s="142" t="s">
        <v>3</v>
      </c>
      <c r="F47" s="142" t="s">
        <v>4</v>
      </c>
      <c r="G47" s="142" t="s">
        <v>5</v>
      </c>
      <c r="H47" s="142" t="s">
        <v>6</v>
      </c>
      <c r="I47" s="142" t="s">
        <v>7</v>
      </c>
      <c r="J47" s="142" t="s">
        <v>8</v>
      </c>
      <c r="K47" s="143" t="s">
        <v>9</v>
      </c>
      <c r="L47" s="143" t="s">
        <v>10</v>
      </c>
      <c r="M47" s="143" t="s">
        <v>11</v>
      </c>
      <c r="N47" s="143" t="s">
        <v>12</v>
      </c>
      <c r="O47" s="123" t="s">
        <v>13</v>
      </c>
    </row>
    <row r="48" spans="2:15" x14ac:dyDescent="0.25">
      <c r="B48" s="128" t="s">
        <v>14</v>
      </c>
      <c r="C48" s="126">
        <v>40</v>
      </c>
      <c r="D48" s="126">
        <v>40</v>
      </c>
      <c r="E48" s="126">
        <v>40</v>
      </c>
      <c r="F48" s="126">
        <v>40</v>
      </c>
      <c r="G48" s="126">
        <v>40</v>
      </c>
      <c r="H48" s="126">
        <v>40</v>
      </c>
      <c r="I48" s="126">
        <v>40</v>
      </c>
      <c r="J48" s="126">
        <v>40</v>
      </c>
      <c r="K48" s="126">
        <v>40</v>
      </c>
      <c r="L48" s="126">
        <v>40</v>
      </c>
      <c r="M48" s="126">
        <v>40</v>
      </c>
      <c r="N48" s="126">
        <v>40</v>
      </c>
      <c r="O48" s="126">
        <v>40</v>
      </c>
    </row>
    <row r="49" spans="2:15" x14ac:dyDescent="0.25">
      <c r="B49" s="128" t="s">
        <v>15</v>
      </c>
      <c r="C49" s="145">
        <v>90</v>
      </c>
      <c r="D49" s="145">
        <v>79</v>
      </c>
      <c r="E49" s="145">
        <v>87</v>
      </c>
      <c r="F49" s="126">
        <v>72</v>
      </c>
      <c r="G49" s="126">
        <v>65</v>
      </c>
      <c r="H49" s="126">
        <v>77</v>
      </c>
      <c r="I49" s="126">
        <v>86</v>
      </c>
      <c r="J49" s="126">
        <v>78</v>
      </c>
      <c r="K49" s="126">
        <v>79</v>
      </c>
      <c r="L49" s="126">
        <v>103</v>
      </c>
      <c r="M49" s="126">
        <v>73</v>
      </c>
      <c r="N49" s="126">
        <v>66</v>
      </c>
      <c r="O49" s="126">
        <f t="shared" ref="O49:O54" si="24">SUM(C49:N49)</f>
        <v>955</v>
      </c>
    </row>
    <row r="50" spans="2:15" x14ac:dyDescent="0.25">
      <c r="B50" s="128" t="s">
        <v>16</v>
      </c>
      <c r="C50" s="145">
        <v>84</v>
      </c>
      <c r="D50" s="145">
        <v>82</v>
      </c>
      <c r="E50" s="145">
        <v>75</v>
      </c>
      <c r="F50" s="126">
        <v>69</v>
      </c>
      <c r="G50" s="126">
        <v>68</v>
      </c>
      <c r="H50" s="126">
        <v>65</v>
      </c>
      <c r="I50" s="126">
        <v>89</v>
      </c>
      <c r="J50" s="126">
        <v>96</v>
      </c>
      <c r="K50" s="126">
        <v>76</v>
      </c>
      <c r="L50" s="126">
        <v>81</v>
      </c>
      <c r="M50" s="126">
        <v>76</v>
      </c>
      <c r="N50" s="126">
        <v>66</v>
      </c>
      <c r="O50" s="126">
        <f t="shared" si="24"/>
        <v>927</v>
      </c>
    </row>
    <row r="51" spans="2:15" x14ac:dyDescent="0.25">
      <c r="B51" s="128" t="s">
        <v>17</v>
      </c>
      <c r="C51" s="145">
        <v>1240</v>
      </c>
      <c r="D51" s="145">
        <v>1160</v>
      </c>
      <c r="E51" s="145">
        <v>1240</v>
      </c>
      <c r="F51" s="126">
        <v>1200</v>
      </c>
      <c r="G51" s="126">
        <v>1240</v>
      </c>
      <c r="H51" s="126">
        <v>1200</v>
      </c>
      <c r="I51" s="126">
        <v>1240</v>
      </c>
      <c r="J51" s="126">
        <v>1240</v>
      </c>
      <c r="K51" s="126">
        <v>1200</v>
      </c>
      <c r="L51" s="126">
        <v>1240</v>
      </c>
      <c r="M51" s="126">
        <v>1200</v>
      </c>
      <c r="N51" s="126">
        <v>1240</v>
      </c>
      <c r="O51" s="126">
        <f t="shared" si="24"/>
        <v>14640</v>
      </c>
    </row>
    <row r="52" spans="2:15" x14ac:dyDescent="0.25">
      <c r="B52" s="128" t="s">
        <v>18</v>
      </c>
      <c r="C52" s="145">
        <v>327</v>
      </c>
      <c r="D52" s="145">
        <v>376</v>
      </c>
      <c r="E52" s="145">
        <v>302</v>
      </c>
      <c r="F52" s="126">
        <v>256</v>
      </c>
      <c r="G52" s="126">
        <v>232</v>
      </c>
      <c r="H52" s="126">
        <v>240</v>
      </c>
      <c r="I52" s="126">
        <v>427</v>
      </c>
      <c r="J52" s="126">
        <v>428</v>
      </c>
      <c r="K52" s="126">
        <v>319</v>
      </c>
      <c r="L52" s="126">
        <v>351</v>
      </c>
      <c r="M52" s="126">
        <v>397</v>
      </c>
      <c r="N52" s="126">
        <v>324</v>
      </c>
      <c r="O52" s="126">
        <f t="shared" si="24"/>
        <v>3979</v>
      </c>
    </row>
    <row r="53" spans="2:15" x14ac:dyDescent="0.25">
      <c r="B53" s="128" t="s">
        <v>19</v>
      </c>
      <c r="C53" s="145">
        <v>387</v>
      </c>
      <c r="D53" s="145">
        <v>393</v>
      </c>
      <c r="E53" s="145">
        <v>586</v>
      </c>
      <c r="F53" s="126">
        <v>316</v>
      </c>
      <c r="G53" s="126">
        <v>316</v>
      </c>
      <c r="H53" s="126">
        <v>262</v>
      </c>
      <c r="I53" s="126">
        <v>480</v>
      </c>
      <c r="J53" s="126">
        <v>796</v>
      </c>
      <c r="K53" s="126">
        <v>347</v>
      </c>
      <c r="L53" s="126">
        <v>411</v>
      </c>
      <c r="M53" s="126">
        <v>504</v>
      </c>
      <c r="N53" s="126">
        <v>632</v>
      </c>
      <c r="O53" s="126">
        <f t="shared" si="24"/>
        <v>5430</v>
      </c>
    </row>
    <row r="54" spans="2:15" x14ac:dyDescent="0.25">
      <c r="B54" s="128" t="s">
        <v>51</v>
      </c>
      <c r="C54" s="145">
        <f>16+16+15+15+16+13+16+17+14+16+15+16+16+15+15+13+15+9+5+6+7+9+10+11+9+10+8+10+11+11+14</f>
        <v>389</v>
      </c>
      <c r="D54" s="145">
        <f>13+12+10+12+13+17+17+21+23+20+20+20+21+21+19+20+15+18+15+16+18+17+16+10+12+10+10+8+7</f>
        <v>451</v>
      </c>
      <c r="E54" s="145">
        <f>7+6+9+11+15+15+17+13+13+12+14+13+12+12+10+10+10+10+16+16+18+16+12+14+13+11+10+10+13+14+15</f>
        <v>387</v>
      </c>
      <c r="F54" s="126">
        <f>11+9+9+6+4+4+5+6+10+13+13+13+14+14+14+14+11+11+12+13+14+15+15+16+13+10+13+11+12+16</f>
        <v>341</v>
      </c>
      <c r="G54" s="126">
        <f>12+12+10+5+8+8+8+5+5+7+8+6+6+10+12+5+4+5+5+5+7+4+3+8+8+9+7+8+6+4+9</f>
        <v>219</v>
      </c>
      <c r="H54" s="126">
        <f>9+9+7+8+14+11+12+11+7+6+8+9+9+8+6+4+5+6+6+9+11+11+12+12+13+15+14+14+15+18</f>
        <v>299</v>
      </c>
      <c r="I54" s="126">
        <f>20+20+21+19+17+16+15+15+16+18+18+23+19+22+21+24+22+16+15+14+15+16+16+19+17+19+19+22+20+15+15</f>
        <v>564</v>
      </c>
      <c r="J54" s="126">
        <f>17+18+18+21+19+19+21+21+20+17+13+12+15+16+21+23+23+19+17+16+19+24+20+14+12+14+13+15+16+14+13</f>
        <v>540</v>
      </c>
      <c r="K54" s="126">
        <f>12+11+12+14+17+18+7+8+8+10+12+12+16+16+18+21+18+16+14+11+8+10+10+8+9+10+7+6+5+7</f>
        <v>351</v>
      </c>
      <c r="L54" s="126">
        <f>11+12+17+19+20+19+18+16+18+18+17+18+14+14+13+11+8+9+10+11+12+11+14+16+16+17+18+17+21+22</f>
        <v>457</v>
      </c>
      <c r="M54" s="126">
        <f>23+21+19+19+19+14+13+15+15+14+16+15+18+15+14+11+9+11+15+15+16+15+14+15+13+13+14+15+14+13</f>
        <v>453</v>
      </c>
      <c r="N54" s="126">
        <f>15+16+13+15+11+10+11+11+10+12+13+14+14+13+13+15+14+13+11+14+12+11+8+7+10+11+9+8+11+11+13</f>
        <v>369</v>
      </c>
      <c r="O54" s="126">
        <f t="shared" si="24"/>
        <v>4820</v>
      </c>
    </row>
    <row r="55" spans="2:15" x14ac:dyDescent="0.25">
      <c r="B55" s="128" t="s">
        <v>74</v>
      </c>
      <c r="C55" s="131">
        <f t="shared" ref="C55:O55" si="25">C52/C50</f>
        <v>3.8928571428571428</v>
      </c>
      <c r="D55" s="131">
        <f t="shared" si="25"/>
        <v>4.5853658536585362</v>
      </c>
      <c r="E55" s="131">
        <f t="shared" si="25"/>
        <v>4.0266666666666664</v>
      </c>
      <c r="F55" s="131">
        <f t="shared" si="25"/>
        <v>3.7101449275362319</v>
      </c>
      <c r="G55" s="131">
        <f t="shared" si="25"/>
        <v>3.4117647058823528</v>
      </c>
      <c r="H55" s="131">
        <f t="shared" si="25"/>
        <v>3.6923076923076925</v>
      </c>
      <c r="I55" s="131">
        <f t="shared" si="25"/>
        <v>4.797752808988764</v>
      </c>
      <c r="J55" s="131">
        <f t="shared" si="25"/>
        <v>4.458333333333333</v>
      </c>
      <c r="K55" s="131">
        <f t="shared" si="25"/>
        <v>4.1973684210526319</v>
      </c>
      <c r="L55" s="131">
        <f t="shared" si="25"/>
        <v>4.333333333333333</v>
      </c>
      <c r="M55" s="131">
        <f t="shared" si="25"/>
        <v>5.2236842105263159</v>
      </c>
      <c r="N55" s="131">
        <f t="shared" si="25"/>
        <v>4.9090909090909092</v>
      </c>
      <c r="O55" s="131">
        <f t="shared" si="25"/>
        <v>4.2923408845738944</v>
      </c>
    </row>
    <row r="56" spans="2:15" x14ac:dyDescent="0.25">
      <c r="B56" s="128" t="s">
        <v>75</v>
      </c>
      <c r="C56" s="131">
        <f t="shared" ref="C56:N56" si="26">C53/C50</f>
        <v>4.6071428571428568</v>
      </c>
      <c r="D56" s="131">
        <f t="shared" si="26"/>
        <v>4.7926829268292686</v>
      </c>
      <c r="E56" s="131">
        <f t="shared" si="26"/>
        <v>7.8133333333333335</v>
      </c>
      <c r="F56" s="131">
        <f t="shared" si="26"/>
        <v>4.5797101449275361</v>
      </c>
      <c r="G56" s="131">
        <f t="shared" si="26"/>
        <v>4.6470588235294121</v>
      </c>
      <c r="H56" s="131">
        <f t="shared" si="26"/>
        <v>4.0307692307692307</v>
      </c>
      <c r="I56" s="131">
        <f t="shared" si="26"/>
        <v>5.393258426966292</v>
      </c>
      <c r="J56" s="131">
        <f t="shared" si="26"/>
        <v>8.2916666666666661</v>
      </c>
      <c r="K56" s="131">
        <f t="shared" si="26"/>
        <v>4.5657894736842106</v>
      </c>
      <c r="L56" s="131">
        <f t="shared" si="26"/>
        <v>5.0740740740740744</v>
      </c>
      <c r="M56" s="131">
        <f t="shared" si="26"/>
        <v>6.6315789473684212</v>
      </c>
      <c r="N56" s="131">
        <f t="shared" si="26"/>
        <v>9.5757575757575761</v>
      </c>
      <c r="O56" s="131">
        <f>O53/O50</f>
        <v>5.8576051779935279</v>
      </c>
    </row>
    <row r="57" spans="2:15" x14ac:dyDescent="0.25">
      <c r="B57" s="128" t="s">
        <v>72</v>
      </c>
      <c r="C57" s="131">
        <f>C53/C51*100</f>
        <v>31.209677419354836</v>
      </c>
      <c r="D57" s="131">
        <f>D53/D51*100</f>
        <v>33.879310344827587</v>
      </c>
      <c r="E57" s="131">
        <f t="shared" ref="E57:J57" si="27">E53/E51*100</f>
        <v>47.258064516129032</v>
      </c>
      <c r="F57" s="131">
        <f t="shared" si="27"/>
        <v>26.333333333333332</v>
      </c>
      <c r="G57" s="131">
        <f t="shared" si="27"/>
        <v>25.483870967741932</v>
      </c>
      <c r="H57" s="131">
        <f t="shared" si="27"/>
        <v>21.833333333333332</v>
      </c>
      <c r="I57" s="131">
        <f t="shared" si="27"/>
        <v>38.70967741935484</v>
      </c>
      <c r="J57" s="131">
        <f t="shared" si="27"/>
        <v>64.193548387096783</v>
      </c>
      <c r="K57" s="131">
        <f>K52/K51*100</f>
        <v>26.583333333333332</v>
      </c>
      <c r="L57" s="131">
        <f>L52/L51*100</f>
        <v>28.306451612903228</v>
      </c>
      <c r="M57" s="131">
        <f>M52/M51*100</f>
        <v>33.083333333333329</v>
      </c>
      <c r="N57" s="131">
        <f>N52/N51*100</f>
        <v>26.129032258064516</v>
      </c>
      <c r="O57" s="131">
        <f>O52/O51*100</f>
        <v>27.178961748633878</v>
      </c>
    </row>
    <row r="58" spans="2:15" x14ac:dyDescent="0.25">
      <c r="B58" s="128" t="s">
        <v>77</v>
      </c>
      <c r="C58" s="131">
        <f t="shared" ref="C58:N58" si="28">C50/C48</f>
        <v>2.1</v>
      </c>
      <c r="D58" s="131">
        <f t="shared" si="28"/>
        <v>2.0499999999999998</v>
      </c>
      <c r="E58" s="131">
        <f t="shared" si="28"/>
        <v>1.875</v>
      </c>
      <c r="F58" s="131">
        <f t="shared" si="28"/>
        <v>1.7250000000000001</v>
      </c>
      <c r="G58" s="131">
        <f t="shared" si="28"/>
        <v>1.7</v>
      </c>
      <c r="H58" s="131">
        <f t="shared" si="28"/>
        <v>1.625</v>
      </c>
      <c r="I58" s="131">
        <f t="shared" si="28"/>
        <v>2.2250000000000001</v>
      </c>
      <c r="J58" s="131">
        <f t="shared" si="28"/>
        <v>2.4</v>
      </c>
      <c r="K58" s="131">
        <f t="shared" si="28"/>
        <v>1.9</v>
      </c>
      <c r="L58" s="131">
        <f t="shared" si="28"/>
        <v>2.0249999999999999</v>
      </c>
      <c r="M58" s="131">
        <f t="shared" si="28"/>
        <v>1.9</v>
      </c>
      <c r="N58" s="131">
        <f t="shared" si="28"/>
        <v>1.65</v>
      </c>
      <c r="O58" s="131">
        <f>O50/O48</f>
        <v>23.175000000000001</v>
      </c>
    </row>
    <row r="59" spans="2:15" x14ac:dyDescent="0.25">
      <c r="B59" s="128" t="s">
        <v>24</v>
      </c>
      <c r="C59" s="131">
        <v>10.87</v>
      </c>
      <c r="D59" s="131">
        <v>9.56</v>
      </c>
      <c r="E59" s="131">
        <v>12.51</v>
      </c>
      <c r="F59" s="126">
        <v>13.68</v>
      </c>
      <c r="G59" s="131">
        <v>14.82</v>
      </c>
      <c r="H59" s="131">
        <v>14.77</v>
      </c>
      <c r="I59" s="126">
        <v>9.1300000000000008</v>
      </c>
      <c r="J59" s="126">
        <v>4.63</v>
      </c>
      <c r="K59" s="126">
        <v>11.22</v>
      </c>
      <c r="L59" s="126">
        <v>10.98</v>
      </c>
      <c r="M59" s="126">
        <v>10.57</v>
      </c>
      <c r="N59" s="131">
        <v>13.87</v>
      </c>
      <c r="O59" s="131">
        <v>11.5</v>
      </c>
    </row>
    <row r="60" spans="2:15" x14ac:dyDescent="0.25">
      <c r="B60" s="156" t="s">
        <v>89</v>
      </c>
      <c r="C60" s="131">
        <f>C54/C51*100</f>
        <v>31.370967741935484</v>
      </c>
      <c r="D60" s="131">
        <f t="shared" ref="D60:O60" si="29">D54/D51*100</f>
        <v>38.879310344827587</v>
      </c>
      <c r="E60" s="131">
        <f t="shared" si="29"/>
        <v>31.209677419354836</v>
      </c>
      <c r="F60" s="131">
        <f t="shared" si="29"/>
        <v>28.416666666666668</v>
      </c>
      <c r="G60" s="131">
        <f t="shared" si="29"/>
        <v>17.661290322580644</v>
      </c>
      <c r="H60" s="131">
        <f t="shared" si="29"/>
        <v>24.916666666666668</v>
      </c>
      <c r="I60" s="131">
        <f t="shared" si="29"/>
        <v>45.483870967741936</v>
      </c>
      <c r="J60" s="131">
        <f t="shared" si="29"/>
        <v>43.548387096774192</v>
      </c>
      <c r="K60" s="131">
        <f t="shared" si="29"/>
        <v>29.25</v>
      </c>
      <c r="L60" s="131">
        <f t="shared" si="29"/>
        <v>36.854838709677416</v>
      </c>
      <c r="M60" s="131">
        <f t="shared" si="29"/>
        <v>37.75</v>
      </c>
      <c r="N60" s="131">
        <f t="shared" si="29"/>
        <v>29.758064516129036</v>
      </c>
      <c r="O60" s="131">
        <f t="shared" si="29"/>
        <v>32.923497267759558</v>
      </c>
    </row>
    <row r="61" spans="2:15" x14ac:dyDescent="0.25">
      <c r="B61" s="128" t="s">
        <v>26</v>
      </c>
      <c r="C61" s="145">
        <v>5</v>
      </c>
      <c r="D61" s="145">
        <v>7</v>
      </c>
      <c r="E61" s="145">
        <v>4</v>
      </c>
      <c r="F61" s="126">
        <v>3</v>
      </c>
      <c r="G61" s="126">
        <v>6</v>
      </c>
      <c r="H61" s="126">
        <v>5</v>
      </c>
      <c r="I61" s="126">
        <v>8</v>
      </c>
      <c r="J61" s="126">
        <v>9</v>
      </c>
      <c r="K61" s="126">
        <v>5</v>
      </c>
      <c r="L61" s="126">
        <v>6</v>
      </c>
      <c r="M61" s="126">
        <v>7</v>
      </c>
      <c r="N61" s="126">
        <v>8</v>
      </c>
      <c r="O61" s="126">
        <f>SUM(C61:N61)</f>
        <v>73</v>
      </c>
    </row>
    <row r="62" spans="2:15" x14ac:dyDescent="0.25">
      <c r="B62" s="128" t="s">
        <v>52</v>
      </c>
      <c r="C62" s="145">
        <v>5</v>
      </c>
      <c r="D62" s="145">
        <v>7</v>
      </c>
      <c r="E62" s="145">
        <v>2</v>
      </c>
      <c r="F62" s="126">
        <v>2</v>
      </c>
      <c r="G62" s="126">
        <v>4</v>
      </c>
      <c r="H62" s="126">
        <v>5</v>
      </c>
      <c r="I62" s="126">
        <v>7</v>
      </c>
      <c r="J62" s="126">
        <v>9</v>
      </c>
      <c r="K62" s="126">
        <v>3</v>
      </c>
      <c r="L62" s="126">
        <v>2</v>
      </c>
      <c r="M62" s="126">
        <v>7</v>
      </c>
      <c r="N62" s="126">
        <v>5</v>
      </c>
      <c r="O62" s="126">
        <f>SUM(C62:N62)</f>
        <v>58</v>
      </c>
    </row>
    <row r="63" spans="2:15" x14ac:dyDescent="0.25">
      <c r="B63" s="128" t="s">
        <v>53</v>
      </c>
      <c r="C63" s="145">
        <v>0</v>
      </c>
      <c r="D63" s="145">
        <v>0</v>
      </c>
      <c r="E63" s="145">
        <v>2</v>
      </c>
      <c r="F63" s="126">
        <v>1</v>
      </c>
      <c r="G63" s="126">
        <v>2</v>
      </c>
      <c r="H63" s="126">
        <v>0</v>
      </c>
      <c r="I63" s="126">
        <v>1</v>
      </c>
      <c r="J63" s="126">
        <v>0</v>
      </c>
      <c r="K63" s="126">
        <v>2</v>
      </c>
      <c r="L63" s="126">
        <v>4</v>
      </c>
      <c r="M63" s="126">
        <v>0</v>
      </c>
      <c r="N63" s="126">
        <v>3</v>
      </c>
      <c r="O63" s="126">
        <f>SUM(C63:N63)</f>
        <v>15</v>
      </c>
    </row>
    <row r="64" spans="2:15" x14ac:dyDescent="0.25">
      <c r="B64" s="128" t="s">
        <v>29</v>
      </c>
      <c r="C64" s="131">
        <f>C61/C50*100</f>
        <v>5.9523809523809517</v>
      </c>
      <c r="D64" s="131">
        <f t="shared" ref="D64:O64" si="30">D61/D50*100</f>
        <v>8.536585365853659</v>
      </c>
      <c r="E64" s="131">
        <f t="shared" si="30"/>
        <v>5.3333333333333339</v>
      </c>
      <c r="F64" s="131">
        <f t="shared" si="30"/>
        <v>4.3478260869565215</v>
      </c>
      <c r="G64" s="131">
        <f t="shared" si="30"/>
        <v>8.8235294117647065</v>
      </c>
      <c r="H64" s="131">
        <f t="shared" si="30"/>
        <v>7.6923076923076925</v>
      </c>
      <c r="I64" s="131">
        <f t="shared" si="30"/>
        <v>8.9887640449438209</v>
      </c>
      <c r="J64" s="131">
        <f t="shared" si="30"/>
        <v>9.375</v>
      </c>
      <c r="K64" s="131">
        <f t="shared" si="30"/>
        <v>6.5789473684210522</v>
      </c>
      <c r="L64" s="131">
        <f t="shared" si="30"/>
        <v>7.4074074074074066</v>
      </c>
      <c r="M64" s="131">
        <f t="shared" si="30"/>
        <v>9.2105263157894726</v>
      </c>
      <c r="N64" s="131">
        <f t="shared" si="30"/>
        <v>12.121212121212121</v>
      </c>
      <c r="O64" s="131">
        <f t="shared" si="30"/>
        <v>7.8748651564185552</v>
      </c>
    </row>
    <row r="65" spans="2:15" x14ac:dyDescent="0.25">
      <c r="B65" s="128" t="s">
        <v>30</v>
      </c>
      <c r="C65" s="131">
        <f>C62/C50*100</f>
        <v>5.9523809523809517</v>
      </c>
      <c r="D65" s="131">
        <f t="shared" ref="D65:O65" si="31">D62/D50*100</f>
        <v>8.536585365853659</v>
      </c>
      <c r="E65" s="131">
        <f t="shared" si="31"/>
        <v>2.666666666666667</v>
      </c>
      <c r="F65" s="131">
        <f t="shared" si="31"/>
        <v>2.8985507246376812</v>
      </c>
      <c r="G65" s="131">
        <f t="shared" si="31"/>
        <v>5.8823529411764701</v>
      </c>
      <c r="H65" s="131">
        <f t="shared" si="31"/>
        <v>7.6923076923076925</v>
      </c>
      <c r="I65" s="131">
        <f t="shared" si="31"/>
        <v>7.8651685393258424</v>
      </c>
      <c r="J65" s="131">
        <f t="shared" si="31"/>
        <v>9.375</v>
      </c>
      <c r="K65" s="131">
        <f t="shared" si="31"/>
        <v>3.9473684210526314</v>
      </c>
      <c r="L65" s="131">
        <f t="shared" si="31"/>
        <v>2.4691358024691357</v>
      </c>
      <c r="M65" s="131">
        <f t="shared" si="31"/>
        <v>9.2105263157894726</v>
      </c>
      <c r="N65" s="131">
        <f t="shared" si="31"/>
        <v>7.5757575757575761</v>
      </c>
      <c r="O65" s="131">
        <f t="shared" si="31"/>
        <v>6.2567421790722761</v>
      </c>
    </row>
    <row r="66" spans="2:15" x14ac:dyDescent="0.25">
      <c r="B66" s="128" t="s">
        <v>31</v>
      </c>
      <c r="C66" s="126">
        <v>0</v>
      </c>
      <c r="D66" s="126">
        <v>0</v>
      </c>
      <c r="E66" s="126">
        <v>0</v>
      </c>
      <c r="F66" s="126">
        <v>0</v>
      </c>
      <c r="G66" s="126">
        <v>0</v>
      </c>
      <c r="H66" s="126">
        <v>0</v>
      </c>
      <c r="I66" s="126">
        <v>0</v>
      </c>
      <c r="J66" s="126">
        <v>0</v>
      </c>
      <c r="K66" s="126">
        <v>0</v>
      </c>
      <c r="L66" s="126">
        <v>0</v>
      </c>
      <c r="M66" s="126">
        <v>0</v>
      </c>
      <c r="N66" s="126">
        <v>0</v>
      </c>
      <c r="O66" s="126">
        <f>SUM(C66:N66)</f>
        <v>0</v>
      </c>
    </row>
    <row r="67" spans="2:15" x14ac:dyDescent="0.25">
      <c r="B67" s="137"/>
      <c r="C67" s="153"/>
      <c r="D67" s="153"/>
      <c r="E67" s="153"/>
      <c r="F67" s="153"/>
      <c r="G67" s="153"/>
      <c r="H67" s="153"/>
      <c r="I67" s="154"/>
      <c r="J67" s="153"/>
      <c r="K67" s="153"/>
      <c r="L67" s="153"/>
      <c r="M67" s="153"/>
      <c r="N67" s="153"/>
      <c r="O67" s="153"/>
    </row>
    <row r="68" spans="2:15" x14ac:dyDescent="0.25">
      <c r="B68" s="138"/>
    </row>
    <row r="69" spans="2:15" ht="15.75" x14ac:dyDescent="0.25">
      <c r="C69" s="190" t="s">
        <v>114</v>
      </c>
      <c r="D69" s="190"/>
      <c r="E69" s="190"/>
      <c r="F69" s="190"/>
      <c r="G69" s="190"/>
      <c r="H69" s="190"/>
      <c r="I69" s="190"/>
      <c r="J69" s="190"/>
      <c r="K69" s="190"/>
      <c r="L69" s="190"/>
      <c r="N69" s="139" t="s">
        <v>54</v>
      </c>
    </row>
    <row r="70" spans="2:15" x14ac:dyDescent="0.25">
      <c r="B70" s="139" t="s">
        <v>54</v>
      </c>
    </row>
    <row r="71" spans="2:15" x14ac:dyDescent="0.25">
      <c r="C71" s="123" t="s">
        <v>1</v>
      </c>
      <c r="D71" s="123" t="s">
        <v>2</v>
      </c>
      <c r="E71" s="123" t="s">
        <v>3</v>
      </c>
      <c r="F71" s="123" t="s">
        <v>4</v>
      </c>
      <c r="G71" s="123" t="s">
        <v>5</v>
      </c>
      <c r="H71" s="123" t="s">
        <v>6</v>
      </c>
      <c r="I71" s="123" t="s">
        <v>7</v>
      </c>
      <c r="J71" s="123" t="s">
        <v>8</v>
      </c>
      <c r="K71" s="123" t="s">
        <v>9</v>
      </c>
      <c r="L71" s="123" t="s">
        <v>10</v>
      </c>
      <c r="M71" s="123" t="s">
        <v>11</v>
      </c>
      <c r="N71" s="123" t="s">
        <v>12</v>
      </c>
      <c r="O71" s="123" t="s">
        <v>13</v>
      </c>
    </row>
    <row r="72" spans="2:15" x14ac:dyDescent="0.25">
      <c r="B72" s="128" t="s">
        <v>14</v>
      </c>
      <c r="C72" s="126">
        <v>40</v>
      </c>
      <c r="D72" s="126">
        <v>40</v>
      </c>
      <c r="E72" s="126">
        <v>40</v>
      </c>
      <c r="F72" s="126">
        <v>40</v>
      </c>
      <c r="G72" s="126">
        <v>40</v>
      </c>
      <c r="H72" s="126">
        <v>40</v>
      </c>
      <c r="I72" s="126">
        <v>40</v>
      </c>
      <c r="J72" s="126">
        <v>40</v>
      </c>
      <c r="K72" s="126">
        <v>40</v>
      </c>
      <c r="L72" s="126">
        <v>40</v>
      </c>
      <c r="M72" s="126">
        <v>40</v>
      </c>
      <c r="N72" s="126">
        <v>40</v>
      </c>
      <c r="O72" s="126">
        <v>40</v>
      </c>
    </row>
    <row r="73" spans="2:15" x14ac:dyDescent="0.25">
      <c r="B73" s="128" t="s">
        <v>15</v>
      </c>
      <c r="C73" s="126">
        <v>150</v>
      </c>
      <c r="D73" s="126">
        <v>124</v>
      </c>
      <c r="E73" s="126">
        <v>112</v>
      </c>
      <c r="F73" s="126">
        <v>91</v>
      </c>
      <c r="G73" s="126">
        <v>126</v>
      </c>
      <c r="H73" s="126">
        <v>128</v>
      </c>
      <c r="I73" s="126">
        <v>103</v>
      </c>
      <c r="J73" s="126">
        <v>103</v>
      </c>
      <c r="K73" s="126">
        <v>93</v>
      </c>
      <c r="L73" s="126">
        <v>86</v>
      </c>
      <c r="M73" s="126">
        <v>136</v>
      </c>
      <c r="N73" s="126">
        <v>120</v>
      </c>
      <c r="O73" s="126">
        <f t="shared" ref="O73:O78" si="32">SUM(C73:N73)</f>
        <v>1372</v>
      </c>
    </row>
    <row r="74" spans="2:15" x14ac:dyDescent="0.25">
      <c r="B74" s="128" t="s">
        <v>16</v>
      </c>
      <c r="C74" s="126">
        <v>135</v>
      </c>
      <c r="D74" s="126">
        <v>122</v>
      </c>
      <c r="E74" s="126">
        <v>119</v>
      </c>
      <c r="F74" s="126">
        <v>85</v>
      </c>
      <c r="G74" s="126">
        <v>115</v>
      </c>
      <c r="H74" s="126">
        <v>138</v>
      </c>
      <c r="I74" s="126">
        <v>109</v>
      </c>
      <c r="J74" s="126">
        <v>116</v>
      </c>
      <c r="K74" s="126">
        <v>86</v>
      </c>
      <c r="L74" s="126">
        <v>86</v>
      </c>
      <c r="M74" s="126">
        <v>128</v>
      </c>
      <c r="N74" s="126">
        <v>129</v>
      </c>
      <c r="O74" s="126">
        <f t="shared" si="32"/>
        <v>1368</v>
      </c>
    </row>
    <row r="75" spans="2:15" x14ac:dyDescent="0.25">
      <c r="B75" s="128" t="s">
        <v>17</v>
      </c>
      <c r="C75" s="126">
        <v>1240</v>
      </c>
      <c r="D75" s="126">
        <v>1160</v>
      </c>
      <c r="E75" s="126">
        <v>1240</v>
      </c>
      <c r="F75" s="126">
        <v>1200</v>
      </c>
      <c r="G75" s="126">
        <v>1240</v>
      </c>
      <c r="H75" s="126">
        <v>1200</v>
      </c>
      <c r="I75" s="126">
        <v>1240</v>
      </c>
      <c r="J75" s="126">
        <v>1240</v>
      </c>
      <c r="K75" s="126">
        <v>1200</v>
      </c>
      <c r="L75" s="126">
        <v>1240</v>
      </c>
      <c r="M75" s="126">
        <v>1200</v>
      </c>
      <c r="N75" s="126">
        <v>1240</v>
      </c>
      <c r="O75" s="126">
        <f t="shared" si="32"/>
        <v>14640</v>
      </c>
    </row>
    <row r="76" spans="2:15" x14ac:dyDescent="0.25">
      <c r="B76" s="128" t="s">
        <v>18</v>
      </c>
      <c r="C76" s="126">
        <v>518</v>
      </c>
      <c r="D76" s="126">
        <v>598</v>
      </c>
      <c r="E76" s="126">
        <v>548</v>
      </c>
      <c r="F76" s="126">
        <v>478</v>
      </c>
      <c r="G76" s="126">
        <v>713</v>
      </c>
      <c r="H76" s="126">
        <v>657</v>
      </c>
      <c r="I76" s="126">
        <v>549</v>
      </c>
      <c r="J76" s="126">
        <v>525</v>
      </c>
      <c r="K76" s="126">
        <v>427</v>
      </c>
      <c r="L76" s="126">
        <v>460</v>
      </c>
      <c r="M76" s="126">
        <v>603</v>
      </c>
      <c r="N76" s="126">
        <v>546</v>
      </c>
      <c r="O76" s="126">
        <f t="shared" si="32"/>
        <v>6622</v>
      </c>
    </row>
    <row r="77" spans="2:15" x14ac:dyDescent="0.25">
      <c r="B77" s="128" t="s">
        <v>19</v>
      </c>
      <c r="C77" s="126">
        <v>578</v>
      </c>
      <c r="D77" s="126">
        <v>929</v>
      </c>
      <c r="E77" s="126">
        <v>803</v>
      </c>
      <c r="F77" s="126">
        <v>611</v>
      </c>
      <c r="G77" s="126">
        <v>986</v>
      </c>
      <c r="H77" s="126">
        <v>874</v>
      </c>
      <c r="I77" s="126">
        <v>780</v>
      </c>
      <c r="J77" s="126">
        <v>697</v>
      </c>
      <c r="K77" s="126">
        <v>502</v>
      </c>
      <c r="L77" s="126">
        <v>791</v>
      </c>
      <c r="M77" s="126">
        <v>769</v>
      </c>
      <c r="N77" s="126">
        <v>748</v>
      </c>
      <c r="O77" s="126">
        <f t="shared" si="32"/>
        <v>9068</v>
      </c>
    </row>
    <row r="78" spans="2:15" x14ac:dyDescent="0.25">
      <c r="B78" s="156" t="s">
        <v>91</v>
      </c>
      <c r="C78" s="126">
        <f>22+27+30+29+29+23+19+20+27+29+32+32+28+26+27+29+29+26+33+30+29+27+28+27+27+28+24+27+28+33+30</f>
        <v>855</v>
      </c>
      <c r="D78" s="126">
        <f>22+25+24+25+25+30+31+31+32+29+29+28+27+27+32+34+33+33+32+35+34+32+34+25+29+28+25+30+30</f>
        <v>851</v>
      </c>
      <c r="E78" s="126">
        <f>31+32+29+31+29+25+24+30+28+29+30+30+32+26+30+23+21+24+22+21+22+17+15+14+20+26+28+31+27+25+23</f>
        <v>795</v>
      </c>
      <c r="F78" s="126">
        <f>20+21+20+20+18+18+18+20+25+23+24+22+23+29+32+28+30+32+32+26+32+34+38+39+34+30+28+30+27+29</f>
        <v>802</v>
      </c>
      <c r="G78" s="126">
        <f>27+31+33+27+27+27+29+34+33+35+34+37+36+33+34+34+37+33+33+32+30+33+36+39+39+37+36+36+40+36+39</f>
        <v>1047</v>
      </c>
      <c r="H78" s="126">
        <f>33+33+33+34+34+32+30+27+29+30+30+35+34+30+29+32+33+33+38+33+34+29+29+29+26+32+25+27+24+28</f>
        <v>925</v>
      </c>
      <c r="I78" s="126">
        <f>27+27+26+26+28+27+27+29+29+30+24+23+17+17+19+22+31+32+27+25+24+26+23+29+24+24+20+20+21+17+20</f>
        <v>761</v>
      </c>
      <c r="J78" s="126">
        <f>19+24+21+21+20+18+22+28+28+27+29+32+28+31+27+31+25+20+21+25+26+27+22+19+22+25+24+22+27+26+21</f>
        <v>758</v>
      </c>
      <c r="K78" s="126">
        <f>24+26+29+27+26+24+25+21+23+26+28+25+28+28+29+33+32+28+29+33+28+30+27+34+33+29+23+26+25+27</f>
        <v>826</v>
      </c>
      <c r="L78" s="126">
        <f>29+30+30+28+23+26+24+24+23+22+19+20+20+24+23+21+21+20+22+23+21+20+26+28+26+23+22+23+25+26+27</f>
        <v>739</v>
      </c>
      <c r="M78" s="126">
        <f>24+23+23+21+23+32+31+30+30+32+31+31+32+31+31+32+31+31+35+37+33+30+25+30+28+26+28+29+32</f>
        <v>852</v>
      </c>
      <c r="N78" s="126">
        <f>29+30+25+33+31+31+29+30+31+26+30+33+30+26+26+30+28+23+19+20+20+20+12+14+13+13+14+14+18+22+21</f>
        <v>741</v>
      </c>
      <c r="O78" s="126">
        <f t="shared" si="32"/>
        <v>9952</v>
      </c>
    </row>
    <row r="79" spans="2:15" x14ac:dyDescent="0.25">
      <c r="B79" s="128" t="s">
        <v>74</v>
      </c>
      <c r="C79" s="131">
        <f t="shared" ref="C79:N79" si="33">C76/C74</f>
        <v>3.837037037037037</v>
      </c>
      <c r="D79" s="131">
        <f t="shared" si="33"/>
        <v>4.9016393442622954</v>
      </c>
      <c r="E79" s="131">
        <f t="shared" si="33"/>
        <v>4.6050420168067223</v>
      </c>
      <c r="F79" s="131">
        <f t="shared" si="33"/>
        <v>5.6235294117647054</v>
      </c>
      <c r="G79" s="131">
        <f t="shared" si="33"/>
        <v>6.2</v>
      </c>
      <c r="H79" s="131">
        <f t="shared" si="33"/>
        <v>4.7608695652173916</v>
      </c>
      <c r="I79" s="131">
        <f t="shared" si="33"/>
        <v>5.0366972477064218</v>
      </c>
      <c r="J79" s="131">
        <f t="shared" si="33"/>
        <v>4.5258620689655169</v>
      </c>
      <c r="K79" s="131">
        <f t="shared" si="33"/>
        <v>4.9651162790697674</v>
      </c>
      <c r="L79" s="131">
        <f t="shared" si="33"/>
        <v>5.3488372093023253</v>
      </c>
      <c r="M79" s="131">
        <f t="shared" si="33"/>
        <v>4.7109375</v>
      </c>
      <c r="N79" s="131">
        <f t="shared" si="33"/>
        <v>4.2325581395348841</v>
      </c>
      <c r="O79" s="131">
        <f>O76/O74</f>
        <v>4.8406432748538011</v>
      </c>
    </row>
    <row r="80" spans="2:15" x14ac:dyDescent="0.25">
      <c r="B80" s="128" t="s">
        <v>75</v>
      </c>
      <c r="C80" s="131">
        <f t="shared" ref="C80:N80" si="34">C77/C74</f>
        <v>4.2814814814814817</v>
      </c>
      <c r="D80" s="131">
        <f t="shared" si="34"/>
        <v>7.6147540983606561</v>
      </c>
      <c r="E80" s="131">
        <f t="shared" si="34"/>
        <v>6.7478991596638656</v>
      </c>
      <c r="F80" s="131">
        <f t="shared" si="34"/>
        <v>7.1882352941176473</v>
      </c>
      <c r="G80" s="131">
        <v>0</v>
      </c>
      <c r="H80" s="131">
        <f t="shared" si="34"/>
        <v>6.333333333333333</v>
      </c>
      <c r="I80" s="131">
        <f t="shared" si="34"/>
        <v>7.1559633027522933</v>
      </c>
      <c r="J80" s="131">
        <f t="shared" si="34"/>
        <v>6.0086206896551726</v>
      </c>
      <c r="K80" s="131">
        <f t="shared" si="34"/>
        <v>5.8372093023255811</v>
      </c>
      <c r="L80" s="131">
        <f t="shared" si="34"/>
        <v>9.1976744186046506</v>
      </c>
      <c r="M80" s="131">
        <f t="shared" si="34"/>
        <v>6.0078125</v>
      </c>
      <c r="N80" s="131">
        <f t="shared" si="34"/>
        <v>5.7984496124031004</v>
      </c>
      <c r="O80" s="131">
        <f>O77/O74</f>
        <v>6.628654970760234</v>
      </c>
    </row>
    <row r="81" spans="2:15" x14ac:dyDescent="0.25">
      <c r="B81" s="128" t="s">
        <v>76</v>
      </c>
      <c r="C81" s="131">
        <f t="shared" ref="C81:O81" si="35">C76/C75*100</f>
        <v>41.774193548387096</v>
      </c>
      <c r="D81" s="131">
        <f t="shared" si="35"/>
        <v>51.551724137931032</v>
      </c>
      <c r="E81" s="131">
        <f t="shared" si="35"/>
        <v>44.193548387096776</v>
      </c>
      <c r="F81" s="131">
        <f t="shared" si="35"/>
        <v>39.833333333333329</v>
      </c>
      <c r="G81" s="131">
        <f t="shared" si="35"/>
        <v>57.499999999999993</v>
      </c>
      <c r="H81" s="131">
        <f t="shared" si="35"/>
        <v>54.75</v>
      </c>
      <c r="I81" s="131">
        <f t="shared" si="35"/>
        <v>44.274193548387096</v>
      </c>
      <c r="J81" s="131">
        <f t="shared" si="35"/>
        <v>42.338709677419359</v>
      </c>
      <c r="K81" s="131">
        <f t="shared" si="35"/>
        <v>35.583333333333336</v>
      </c>
      <c r="L81" s="131">
        <f t="shared" si="35"/>
        <v>37.096774193548384</v>
      </c>
      <c r="M81" s="131">
        <f t="shared" si="35"/>
        <v>50.249999999999993</v>
      </c>
      <c r="N81" s="131">
        <f t="shared" si="35"/>
        <v>44.032258064516128</v>
      </c>
      <c r="O81" s="131">
        <f t="shared" si="35"/>
        <v>45.232240437158474</v>
      </c>
    </row>
    <row r="82" spans="2:15" x14ac:dyDescent="0.25">
      <c r="B82" s="128" t="s">
        <v>77</v>
      </c>
      <c r="C82" s="131">
        <f t="shared" ref="C82:N82" si="36">C74/C72</f>
        <v>3.375</v>
      </c>
      <c r="D82" s="131">
        <f t="shared" si="36"/>
        <v>3.05</v>
      </c>
      <c r="E82" s="131">
        <f t="shared" si="36"/>
        <v>2.9750000000000001</v>
      </c>
      <c r="F82" s="131">
        <f t="shared" si="36"/>
        <v>2.125</v>
      </c>
      <c r="G82" s="131">
        <f t="shared" si="36"/>
        <v>2.875</v>
      </c>
      <c r="H82" s="131">
        <f t="shared" si="36"/>
        <v>3.45</v>
      </c>
      <c r="I82" s="131">
        <f t="shared" si="36"/>
        <v>2.7250000000000001</v>
      </c>
      <c r="J82" s="131">
        <f t="shared" si="36"/>
        <v>2.9</v>
      </c>
      <c r="K82" s="131">
        <f t="shared" si="36"/>
        <v>2.15</v>
      </c>
      <c r="L82" s="131">
        <f t="shared" si="36"/>
        <v>2.15</v>
      </c>
      <c r="M82" s="131">
        <f t="shared" si="36"/>
        <v>3.2</v>
      </c>
      <c r="N82" s="131">
        <f t="shared" si="36"/>
        <v>3.2250000000000001</v>
      </c>
      <c r="O82" s="131">
        <f>O74/O72</f>
        <v>34.200000000000003</v>
      </c>
    </row>
    <row r="83" spans="2:15" x14ac:dyDescent="0.25">
      <c r="B83" s="128" t="s">
        <v>24</v>
      </c>
      <c r="C83" s="131">
        <v>5.35</v>
      </c>
      <c r="D83" s="126">
        <v>4.6100000000000003</v>
      </c>
      <c r="E83" s="131">
        <v>5.82</v>
      </c>
      <c r="F83" s="131">
        <v>8.49</v>
      </c>
      <c r="G83" s="131">
        <v>4.58</v>
      </c>
      <c r="H83" s="126">
        <v>3.93</v>
      </c>
      <c r="I83" s="131">
        <v>6.34</v>
      </c>
      <c r="J83" s="126">
        <v>4.68</v>
      </c>
      <c r="K83" s="126">
        <v>8.1199999999999992</v>
      </c>
      <c r="L83" s="126">
        <v>9.07</v>
      </c>
      <c r="M83" s="131">
        <v>4.72</v>
      </c>
      <c r="N83" s="131">
        <v>5.37</v>
      </c>
      <c r="O83" s="131">
        <v>5.86</v>
      </c>
    </row>
    <row r="84" spans="2:15" x14ac:dyDescent="0.25">
      <c r="B84" s="156" t="s">
        <v>92</v>
      </c>
      <c r="C84" s="131">
        <f>C78/C75*100</f>
        <v>68.951612903225808</v>
      </c>
      <c r="D84" s="131">
        <f t="shared" ref="D84:O84" si="37">D78/D75*100</f>
        <v>73.362068965517253</v>
      </c>
      <c r="E84" s="131">
        <f t="shared" si="37"/>
        <v>64.112903225806448</v>
      </c>
      <c r="F84" s="131">
        <f t="shared" si="37"/>
        <v>66.833333333333329</v>
      </c>
      <c r="G84" s="131">
        <f t="shared" si="37"/>
        <v>84.435483870967744</v>
      </c>
      <c r="H84" s="131">
        <f t="shared" si="37"/>
        <v>77.083333333333343</v>
      </c>
      <c r="I84" s="131">
        <f t="shared" si="37"/>
        <v>61.370967741935488</v>
      </c>
      <c r="J84" s="131">
        <f t="shared" si="37"/>
        <v>61.12903225806452</v>
      </c>
      <c r="K84" s="131">
        <f t="shared" si="37"/>
        <v>68.833333333333329</v>
      </c>
      <c r="L84" s="131">
        <f t="shared" si="37"/>
        <v>59.596774193548384</v>
      </c>
      <c r="M84" s="131">
        <f t="shared" si="37"/>
        <v>71</v>
      </c>
      <c r="N84" s="131">
        <f t="shared" si="37"/>
        <v>59.758064516129025</v>
      </c>
      <c r="O84" s="131">
        <f t="shared" si="37"/>
        <v>67.978142076502735</v>
      </c>
    </row>
    <row r="85" spans="2:15" x14ac:dyDescent="0.25">
      <c r="B85" s="128" t="s">
        <v>26</v>
      </c>
      <c r="C85" s="126">
        <v>0</v>
      </c>
      <c r="D85" s="126">
        <v>2</v>
      </c>
      <c r="E85" s="126">
        <v>1</v>
      </c>
      <c r="F85" s="126">
        <v>1</v>
      </c>
      <c r="G85" s="126">
        <v>0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26">
        <v>1</v>
      </c>
      <c r="N85" s="126">
        <v>0</v>
      </c>
      <c r="O85" s="126">
        <f>SUM(C85:N85)</f>
        <v>5</v>
      </c>
    </row>
    <row r="86" spans="2:15" x14ac:dyDescent="0.25">
      <c r="B86" s="128" t="s">
        <v>79</v>
      </c>
      <c r="C86" s="126">
        <v>0</v>
      </c>
      <c r="D86" s="126">
        <v>2</v>
      </c>
      <c r="E86" s="126">
        <v>0</v>
      </c>
      <c r="F86" s="126">
        <v>1</v>
      </c>
      <c r="G86" s="126">
        <v>0</v>
      </c>
      <c r="H86" s="126">
        <v>0</v>
      </c>
      <c r="I86" s="126">
        <v>0</v>
      </c>
      <c r="J86" s="126">
        <v>0</v>
      </c>
      <c r="K86" s="126">
        <v>0</v>
      </c>
      <c r="L86" s="126">
        <v>0</v>
      </c>
      <c r="M86" s="126">
        <v>1</v>
      </c>
      <c r="N86" s="126">
        <v>0</v>
      </c>
      <c r="O86" s="126">
        <f>SUM(C86:N86)</f>
        <v>4</v>
      </c>
    </row>
    <row r="87" spans="2:15" x14ac:dyDescent="0.25">
      <c r="B87" s="128" t="s">
        <v>80</v>
      </c>
      <c r="C87" s="126">
        <v>0</v>
      </c>
      <c r="D87" s="126">
        <v>0</v>
      </c>
      <c r="E87" s="126">
        <v>1</v>
      </c>
      <c r="F87" s="126">
        <v>0</v>
      </c>
      <c r="G87" s="126">
        <v>0</v>
      </c>
      <c r="H87" s="126">
        <v>0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N87" s="126">
        <v>0</v>
      </c>
      <c r="O87" s="126">
        <f>SUM(C87:N87)</f>
        <v>1</v>
      </c>
    </row>
    <row r="88" spans="2:15" x14ac:dyDescent="0.25">
      <c r="B88" s="128" t="s">
        <v>31</v>
      </c>
      <c r="C88" s="126">
        <v>0</v>
      </c>
      <c r="D88" s="126">
        <v>0</v>
      </c>
      <c r="E88" s="126">
        <v>0</v>
      </c>
      <c r="F88" s="126">
        <v>0</v>
      </c>
      <c r="G88" s="126">
        <v>0</v>
      </c>
      <c r="H88" s="126">
        <v>1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N88" s="126">
        <v>0</v>
      </c>
      <c r="O88" s="126">
        <f>SUM(C88:N88)</f>
        <v>1</v>
      </c>
    </row>
    <row r="90" spans="2:15" x14ac:dyDescent="0.25">
      <c r="B90" s="138"/>
    </row>
    <row r="91" spans="2:15" ht="15.75" x14ac:dyDescent="0.25">
      <c r="D91" s="190" t="s">
        <v>115</v>
      </c>
      <c r="E91" s="190"/>
      <c r="F91" s="190"/>
      <c r="G91" s="190"/>
      <c r="H91" s="190"/>
      <c r="I91" s="190"/>
      <c r="J91" s="190"/>
      <c r="K91" s="190"/>
      <c r="M91" s="139" t="s">
        <v>66</v>
      </c>
    </row>
    <row r="92" spans="2:15" x14ac:dyDescent="0.25">
      <c r="B92" s="139" t="s">
        <v>66</v>
      </c>
    </row>
    <row r="93" spans="2:15" x14ac:dyDescent="0.25">
      <c r="C93" s="123" t="s">
        <v>1</v>
      </c>
      <c r="D93" s="123" t="s">
        <v>2</v>
      </c>
      <c r="E93" s="123" t="s">
        <v>3</v>
      </c>
      <c r="F93" s="123" t="s">
        <v>4</v>
      </c>
      <c r="G93" s="123" t="s">
        <v>5</v>
      </c>
      <c r="H93" s="123" t="s">
        <v>6</v>
      </c>
      <c r="I93" s="123" t="s">
        <v>7</v>
      </c>
      <c r="J93" s="123" t="s">
        <v>8</v>
      </c>
      <c r="K93" s="123" t="s">
        <v>9</v>
      </c>
      <c r="L93" s="123" t="s">
        <v>10</v>
      </c>
      <c r="M93" s="123" t="s">
        <v>11</v>
      </c>
      <c r="N93" s="123" t="s">
        <v>12</v>
      </c>
      <c r="O93" s="123" t="s">
        <v>13</v>
      </c>
    </row>
    <row r="94" spans="2:15" x14ac:dyDescent="0.25">
      <c r="B94" s="128" t="s">
        <v>14</v>
      </c>
      <c r="C94" s="126">
        <v>15</v>
      </c>
      <c r="D94" s="126">
        <v>15</v>
      </c>
      <c r="E94" s="126">
        <v>15</v>
      </c>
      <c r="F94" s="126">
        <v>15</v>
      </c>
      <c r="G94" s="126">
        <v>15</v>
      </c>
      <c r="H94" s="126">
        <v>15</v>
      </c>
      <c r="I94" s="126">
        <v>15</v>
      </c>
      <c r="J94" s="126">
        <v>15</v>
      </c>
      <c r="K94" s="126">
        <v>15</v>
      </c>
      <c r="L94" s="126">
        <v>15</v>
      </c>
      <c r="M94" s="126">
        <v>15</v>
      </c>
      <c r="N94" s="126">
        <v>15</v>
      </c>
      <c r="O94" s="126">
        <v>15</v>
      </c>
    </row>
    <row r="95" spans="2:15" x14ac:dyDescent="0.25">
      <c r="B95" s="128" t="s">
        <v>15</v>
      </c>
      <c r="C95" s="126">
        <f t="shared" ref="C95:N95" si="38">+C222+C244+C266</f>
        <v>29</v>
      </c>
      <c r="D95" s="126">
        <f t="shared" si="38"/>
        <v>29</v>
      </c>
      <c r="E95" s="126">
        <f t="shared" si="38"/>
        <v>27</v>
      </c>
      <c r="F95" s="126">
        <f t="shared" si="38"/>
        <v>36</v>
      </c>
      <c r="G95" s="126">
        <f t="shared" si="38"/>
        <v>51</v>
      </c>
      <c r="H95" s="126">
        <f t="shared" si="38"/>
        <v>43</v>
      </c>
      <c r="I95" s="126">
        <f t="shared" si="38"/>
        <v>36</v>
      </c>
      <c r="J95" s="126">
        <f t="shared" si="38"/>
        <v>43</v>
      </c>
      <c r="K95" s="126">
        <f t="shared" si="38"/>
        <v>41</v>
      </c>
      <c r="L95" s="126">
        <f t="shared" si="38"/>
        <v>31</v>
      </c>
      <c r="M95" s="126">
        <f t="shared" si="38"/>
        <v>45</v>
      </c>
      <c r="N95" s="126">
        <f t="shared" si="38"/>
        <v>32</v>
      </c>
      <c r="O95" s="126">
        <f t="shared" ref="O95:O100" si="39">SUM(C95:N95)</f>
        <v>443</v>
      </c>
    </row>
    <row r="96" spans="2:15" x14ac:dyDescent="0.25">
      <c r="B96" s="128" t="s">
        <v>16</v>
      </c>
      <c r="C96" s="126">
        <f t="shared" ref="C96:N96" si="40">+C223+C245+C267</f>
        <v>37</v>
      </c>
      <c r="D96" s="126">
        <f t="shared" si="40"/>
        <v>25</v>
      </c>
      <c r="E96" s="126">
        <f t="shared" si="40"/>
        <v>29</v>
      </c>
      <c r="F96" s="126">
        <f t="shared" si="40"/>
        <v>32</v>
      </c>
      <c r="G96" s="126">
        <f t="shared" si="40"/>
        <v>46</v>
      </c>
      <c r="H96" s="126">
        <f t="shared" si="40"/>
        <v>48</v>
      </c>
      <c r="I96" s="126">
        <f t="shared" si="40"/>
        <v>38</v>
      </c>
      <c r="J96" s="126">
        <f t="shared" si="40"/>
        <v>35</v>
      </c>
      <c r="K96" s="126">
        <f t="shared" si="40"/>
        <v>30</v>
      </c>
      <c r="L96" s="126">
        <f t="shared" si="40"/>
        <v>39</v>
      </c>
      <c r="M96" s="126">
        <f t="shared" si="40"/>
        <v>37</v>
      </c>
      <c r="N96" s="126">
        <f t="shared" si="40"/>
        <v>30</v>
      </c>
      <c r="O96" s="126">
        <f t="shared" si="39"/>
        <v>426</v>
      </c>
    </row>
    <row r="97" spans="2:15" x14ac:dyDescent="0.25">
      <c r="B97" s="128" t="s">
        <v>17</v>
      </c>
      <c r="C97" s="126">
        <f t="shared" ref="C97:N97" si="41">+C224+C246+C268</f>
        <v>465</v>
      </c>
      <c r="D97" s="126">
        <f t="shared" si="41"/>
        <v>435</v>
      </c>
      <c r="E97" s="126">
        <f t="shared" si="41"/>
        <v>465</v>
      </c>
      <c r="F97" s="126">
        <f t="shared" si="41"/>
        <v>450</v>
      </c>
      <c r="G97" s="126">
        <f t="shared" si="41"/>
        <v>465</v>
      </c>
      <c r="H97" s="126">
        <f t="shared" si="41"/>
        <v>450</v>
      </c>
      <c r="I97" s="126">
        <f t="shared" si="41"/>
        <v>465</v>
      </c>
      <c r="J97" s="126">
        <f t="shared" si="41"/>
        <v>465</v>
      </c>
      <c r="K97" s="126">
        <f t="shared" si="41"/>
        <v>450</v>
      </c>
      <c r="L97" s="126">
        <f t="shared" si="41"/>
        <v>465</v>
      </c>
      <c r="M97" s="126">
        <f t="shared" si="41"/>
        <v>450</v>
      </c>
      <c r="N97" s="126">
        <f t="shared" si="41"/>
        <v>465</v>
      </c>
      <c r="O97" s="126">
        <f t="shared" si="39"/>
        <v>5490</v>
      </c>
    </row>
    <row r="98" spans="2:15" x14ac:dyDescent="0.25">
      <c r="B98" s="128" t="s">
        <v>18</v>
      </c>
      <c r="C98" s="126">
        <f t="shared" ref="C98:N98" si="42">+C225+C247+C269</f>
        <v>157</v>
      </c>
      <c r="D98" s="126">
        <f t="shared" si="42"/>
        <v>140</v>
      </c>
      <c r="E98" s="126">
        <f t="shared" si="42"/>
        <v>137</v>
      </c>
      <c r="F98" s="126">
        <f t="shared" si="42"/>
        <v>134</v>
      </c>
      <c r="G98" s="126">
        <f t="shared" si="42"/>
        <v>229</v>
      </c>
      <c r="H98" s="126">
        <f t="shared" si="42"/>
        <v>166</v>
      </c>
      <c r="I98" s="126">
        <f t="shared" si="42"/>
        <v>154</v>
      </c>
      <c r="J98" s="126">
        <f t="shared" si="42"/>
        <v>147</v>
      </c>
      <c r="K98" s="126">
        <f t="shared" si="42"/>
        <v>127</v>
      </c>
      <c r="L98" s="126">
        <f t="shared" si="42"/>
        <v>152</v>
      </c>
      <c r="M98" s="126">
        <f t="shared" si="42"/>
        <v>204</v>
      </c>
      <c r="N98" s="126">
        <f t="shared" si="42"/>
        <v>96</v>
      </c>
      <c r="O98" s="126">
        <f t="shared" si="39"/>
        <v>1843</v>
      </c>
    </row>
    <row r="99" spans="2:15" x14ac:dyDescent="0.25">
      <c r="B99" s="128" t="s">
        <v>19</v>
      </c>
      <c r="C99" s="126">
        <f t="shared" ref="C99:N99" si="43">+C226+C248+C270</f>
        <v>244</v>
      </c>
      <c r="D99" s="126">
        <f t="shared" si="43"/>
        <v>209</v>
      </c>
      <c r="E99" s="126">
        <f t="shared" si="43"/>
        <v>171</v>
      </c>
      <c r="F99" s="126">
        <f t="shared" si="43"/>
        <v>180</v>
      </c>
      <c r="G99" s="126">
        <f t="shared" si="43"/>
        <v>253</v>
      </c>
      <c r="H99" s="126">
        <f t="shared" si="43"/>
        <v>231</v>
      </c>
      <c r="I99" s="126">
        <f t="shared" si="43"/>
        <v>229</v>
      </c>
      <c r="J99" s="126">
        <f t="shared" si="43"/>
        <v>234</v>
      </c>
      <c r="K99" s="126">
        <f t="shared" si="43"/>
        <v>186</v>
      </c>
      <c r="L99" s="126">
        <f t="shared" si="43"/>
        <v>259</v>
      </c>
      <c r="M99" s="126">
        <f t="shared" si="43"/>
        <v>217</v>
      </c>
      <c r="N99" s="126">
        <f t="shared" si="43"/>
        <v>131</v>
      </c>
      <c r="O99" s="126">
        <f t="shared" si="39"/>
        <v>2544</v>
      </c>
    </row>
    <row r="100" spans="2:15" x14ac:dyDescent="0.25">
      <c r="B100" s="156" t="s">
        <v>59</v>
      </c>
      <c r="C100" s="126">
        <f t="shared" ref="C100:N100" si="44">+C227+C249+C271</f>
        <v>241</v>
      </c>
      <c r="D100" s="126">
        <f t="shared" si="44"/>
        <v>238</v>
      </c>
      <c r="E100" s="126">
        <f t="shared" si="44"/>
        <v>216</v>
      </c>
      <c r="F100" s="126">
        <f t="shared" si="44"/>
        <v>192</v>
      </c>
      <c r="G100" s="126">
        <f t="shared" si="44"/>
        <v>378</v>
      </c>
      <c r="H100" s="126">
        <f t="shared" si="44"/>
        <v>290</v>
      </c>
      <c r="I100" s="126">
        <f t="shared" si="44"/>
        <v>234</v>
      </c>
      <c r="J100" s="126">
        <f t="shared" si="44"/>
        <v>240</v>
      </c>
      <c r="K100" s="126">
        <f t="shared" si="44"/>
        <v>193</v>
      </c>
      <c r="L100" s="126">
        <f t="shared" si="44"/>
        <v>234</v>
      </c>
      <c r="M100" s="126">
        <f t="shared" si="44"/>
        <v>178</v>
      </c>
      <c r="N100" s="126">
        <f t="shared" si="44"/>
        <v>104</v>
      </c>
      <c r="O100" s="126">
        <f t="shared" si="39"/>
        <v>2738</v>
      </c>
    </row>
    <row r="101" spans="2:15" x14ac:dyDescent="0.25">
      <c r="B101" s="128" t="s">
        <v>74</v>
      </c>
      <c r="C101" s="131">
        <f t="shared" ref="C101:N101" si="45">C98/C96</f>
        <v>4.243243243243243</v>
      </c>
      <c r="D101" s="131">
        <f t="shared" si="45"/>
        <v>5.6</v>
      </c>
      <c r="E101" s="131">
        <f t="shared" si="45"/>
        <v>4.7241379310344831</v>
      </c>
      <c r="F101" s="131">
        <f t="shared" si="45"/>
        <v>4.1875</v>
      </c>
      <c r="G101" s="131">
        <f t="shared" si="45"/>
        <v>4.9782608695652177</v>
      </c>
      <c r="H101" s="131">
        <f t="shared" si="45"/>
        <v>3.4583333333333335</v>
      </c>
      <c r="I101" s="131">
        <f t="shared" si="45"/>
        <v>4.0526315789473681</v>
      </c>
      <c r="J101" s="131">
        <f t="shared" si="45"/>
        <v>4.2</v>
      </c>
      <c r="K101" s="131">
        <f t="shared" si="45"/>
        <v>4.2333333333333334</v>
      </c>
      <c r="L101" s="131">
        <f t="shared" si="45"/>
        <v>3.8974358974358974</v>
      </c>
      <c r="M101" s="131">
        <f t="shared" si="45"/>
        <v>5.5135135135135132</v>
      </c>
      <c r="N101" s="131">
        <f t="shared" si="45"/>
        <v>3.2</v>
      </c>
      <c r="O101" s="131">
        <f>O98/O96</f>
        <v>4.326291079812207</v>
      </c>
    </row>
    <row r="102" spans="2:15" x14ac:dyDescent="0.25">
      <c r="B102" s="128" t="s">
        <v>75</v>
      </c>
      <c r="C102" s="131">
        <f t="shared" ref="C102:N102" si="46">C99/C96</f>
        <v>6.5945945945945947</v>
      </c>
      <c r="D102" s="131">
        <f t="shared" si="46"/>
        <v>8.36</v>
      </c>
      <c r="E102" s="131">
        <f t="shared" si="46"/>
        <v>5.8965517241379306</v>
      </c>
      <c r="F102" s="131">
        <f t="shared" si="46"/>
        <v>5.625</v>
      </c>
      <c r="G102" s="131">
        <f t="shared" si="46"/>
        <v>5.5</v>
      </c>
      <c r="H102" s="131">
        <f t="shared" si="46"/>
        <v>4.8125</v>
      </c>
      <c r="I102" s="131">
        <f t="shared" si="46"/>
        <v>6.0263157894736841</v>
      </c>
      <c r="J102" s="131">
        <f t="shared" si="46"/>
        <v>6.6857142857142859</v>
      </c>
      <c r="K102" s="131">
        <f t="shared" si="46"/>
        <v>6.2</v>
      </c>
      <c r="L102" s="131">
        <f t="shared" si="46"/>
        <v>6.6410256410256414</v>
      </c>
      <c r="M102" s="131">
        <f t="shared" si="46"/>
        <v>5.8648648648648649</v>
      </c>
      <c r="N102" s="131">
        <f t="shared" si="46"/>
        <v>4.3666666666666663</v>
      </c>
      <c r="O102" s="131">
        <f>O99/O96</f>
        <v>5.971830985915493</v>
      </c>
    </row>
    <row r="103" spans="2:15" x14ac:dyDescent="0.25">
      <c r="B103" s="128" t="s">
        <v>76</v>
      </c>
      <c r="C103" s="131">
        <f t="shared" ref="C103:N103" si="47">C98/C97*100</f>
        <v>33.763440860215056</v>
      </c>
      <c r="D103" s="131">
        <f t="shared" si="47"/>
        <v>32.183908045977013</v>
      </c>
      <c r="E103" s="131">
        <f t="shared" si="47"/>
        <v>29.462365591397848</v>
      </c>
      <c r="F103" s="131">
        <f t="shared" si="47"/>
        <v>29.777777777777775</v>
      </c>
      <c r="G103" s="131">
        <f t="shared" si="47"/>
        <v>49.247311827956992</v>
      </c>
      <c r="H103" s="131">
        <f t="shared" si="47"/>
        <v>36.888888888888886</v>
      </c>
      <c r="I103" s="131">
        <f t="shared" si="47"/>
        <v>33.118279569892472</v>
      </c>
      <c r="J103" s="131">
        <f t="shared" si="47"/>
        <v>31.612903225806448</v>
      </c>
      <c r="K103" s="131">
        <f t="shared" si="47"/>
        <v>28.222222222222221</v>
      </c>
      <c r="L103" s="131">
        <f t="shared" si="47"/>
        <v>32.688172043010752</v>
      </c>
      <c r="M103" s="131">
        <f t="shared" si="47"/>
        <v>45.333333333333329</v>
      </c>
      <c r="N103" s="131">
        <f t="shared" si="47"/>
        <v>20.64516129032258</v>
      </c>
      <c r="O103" s="131">
        <f>O98/O97*100</f>
        <v>33.570127504553732</v>
      </c>
    </row>
    <row r="104" spans="2:15" x14ac:dyDescent="0.25">
      <c r="B104" s="128" t="s">
        <v>77</v>
      </c>
      <c r="C104" s="131">
        <f t="shared" ref="C104:N104" si="48">C96/C94</f>
        <v>2.4666666666666668</v>
      </c>
      <c r="D104" s="131">
        <f t="shared" si="48"/>
        <v>1.6666666666666667</v>
      </c>
      <c r="E104" s="131">
        <f t="shared" si="48"/>
        <v>1.9333333333333333</v>
      </c>
      <c r="F104" s="131">
        <f t="shared" si="48"/>
        <v>2.1333333333333333</v>
      </c>
      <c r="G104" s="131">
        <f t="shared" si="48"/>
        <v>3.0666666666666669</v>
      </c>
      <c r="H104" s="131">
        <f t="shared" si="48"/>
        <v>3.2</v>
      </c>
      <c r="I104" s="131">
        <f t="shared" si="48"/>
        <v>2.5333333333333332</v>
      </c>
      <c r="J104" s="131">
        <f t="shared" si="48"/>
        <v>2.3333333333333335</v>
      </c>
      <c r="K104" s="131">
        <f t="shared" si="48"/>
        <v>2</v>
      </c>
      <c r="L104" s="131">
        <f t="shared" si="48"/>
        <v>2.6</v>
      </c>
      <c r="M104" s="131">
        <f t="shared" si="48"/>
        <v>2.4666666666666668</v>
      </c>
      <c r="N104" s="131">
        <f t="shared" si="48"/>
        <v>2</v>
      </c>
      <c r="O104" s="131">
        <f>O96/O94</f>
        <v>28.4</v>
      </c>
    </row>
    <row r="105" spans="2:15" x14ac:dyDescent="0.25">
      <c r="B105" s="128" t="s">
        <v>24</v>
      </c>
      <c r="C105" s="131">
        <v>8.32</v>
      </c>
      <c r="D105" s="131">
        <v>11.8</v>
      </c>
      <c r="E105" s="131">
        <v>11.31</v>
      </c>
      <c r="F105" s="131">
        <v>9.8800000000000008</v>
      </c>
      <c r="G105" s="131">
        <v>5.13</v>
      </c>
      <c r="H105" s="131">
        <v>5.92</v>
      </c>
      <c r="I105" s="131">
        <v>8.18</v>
      </c>
      <c r="J105" s="131">
        <v>6.6</v>
      </c>
      <c r="K105" s="131">
        <v>8.8000000000000007</v>
      </c>
      <c r="L105" s="126">
        <v>8.0299999999999994</v>
      </c>
      <c r="M105" s="126">
        <v>6.65</v>
      </c>
      <c r="N105" s="131">
        <v>12.3</v>
      </c>
      <c r="O105" s="131">
        <v>6</v>
      </c>
    </row>
    <row r="106" spans="2:15" x14ac:dyDescent="0.25">
      <c r="B106" s="156" t="s">
        <v>94</v>
      </c>
      <c r="C106" s="131">
        <f>C100/C97*100</f>
        <v>51.827956989247312</v>
      </c>
      <c r="D106" s="131">
        <f t="shared" ref="D106:O106" si="49">D100/D97*100</f>
        <v>54.712643678160923</v>
      </c>
      <c r="E106" s="131">
        <f t="shared" si="49"/>
        <v>46.451612903225808</v>
      </c>
      <c r="F106" s="131">
        <f t="shared" si="49"/>
        <v>42.666666666666671</v>
      </c>
      <c r="G106" s="131">
        <f t="shared" si="49"/>
        <v>81.290322580645153</v>
      </c>
      <c r="H106" s="131">
        <f t="shared" si="49"/>
        <v>64.444444444444443</v>
      </c>
      <c r="I106" s="131">
        <f t="shared" si="49"/>
        <v>50.322580645161288</v>
      </c>
      <c r="J106" s="131">
        <f t="shared" si="49"/>
        <v>51.612903225806448</v>
      </c>
      <c r="K106" s="131">
        <f t="shared" si="49"/>
        <v>42.888888888888886</v>
      </c>
      <c r="L106" s="131">
        <f t="shared" si="49"/>
        <v>50.322580645161288</v>
      </c>
      <c r="M106" s="131">
        <f t="shared" si="49"/>
        <v>39.555555555555557</v>
      </c>
      <c r="N106" s="131">
        <f t="shared" si="49"/>
        <v>22.365591397849464</v>
      </c>
      <c r="O106" s="165">
        <f t="shared" si="49"/>
        <v>49.872495446265937</v>
      </c>
    </row>
    <row r="107" spans="2:15" x14ac:dyDescent="0.25">
      <c r="B107" s="128" t="s">
        <v>26</v>
      </c>
      <c r="C107" s="126">
        <f t="shared" ref="C107:N107" si="50">+C234+C256+C278</f>
        <v>1</v>
      </c>
      <c r="D107" s="126">
        <f t="shared" si="50"/>
        <v>2</v>
      </c>
      <c r="E107" s="126">
        <f t="shared" si="50"/>
        <v>1</v>
      </c>
      <c r="F107" s="126">
        <f t="shared" si="50"/>
        <v>2</v>
      </c>
      <c r="G107" s="126">
        <f t="shared" si="50"/>
        <v>2</v>
      </c>
      <c r="H107" s="126">
        <f t="shared" si="50"/>
        <v>4</v>
      </c>
      <c r="I107" s="126">
        <f t="shared" si="50"/>
        <v>2</v>
      </c>
      <c r="J107" s="126">
        <f t="shared" si="50"/>
        <v>2</v>
      </c>
      <c r="K107" s="126">
        <f t="shared" si="50"/>
        <v>3</v>
      </c>
      <c r="L107" s="126">
        <f t="shared" si="50"/>
        <v>1</v>
      </c>
      <c r="M107" s="126">
        <f t="shared" si="50"/>
        <v>1</v>
      </c>
      <c r="N107" s="126">
        <f t="shared" si="50"/>
        <v>0</v>
      </c>
      <c r="O107" s="126">
        <f>SUM(C107:N107)</f>
        <v>21</v>
      </c>
    </row>
    <row r="108" spans="2:15" x14ac:dyDescent="0.25">
      <c r="B108" s="128" t="s">
        <v>79</v>
      </c>
      <c r="C108" s="126">
        <f>+C235+C257+C279</f>
        <v>0</v>
      </c>
      <c r="D108" s="126">
        <v>2</v>
      </c>
      <c r="E108" s="126">
        <f t="shared" ref="E108:N108" si="51">+E235+E257+E279</f>
        <v>0</v>
      </c>
      <c r="F108" s="126">
        <f t="shared" si="51"/>
        <v>0</v>
      </c>
      <c r="G108" s="126">
        <f t="shared" si="51"/>
        <v>0</v>
      </c>
      <c r="H108" s="126">
        <f t="shared" si="51"/>
        <v>2</v>
      </c>
      <c r="I108" s="126">
        <f t="shared" si="51"/>
        <v>2</v>
      </c>
      <c r="J108" s="126">
        <f t="shared" si="51"/>
        <v>2</v>
      </c>
      <c r="K108" s="126">
        <f t="shared" si="51"/>
        <v>3</v>
      </c>
      <c r="L108" s="126">
        <f t="shared" si="51"/>
        <v>1</v>
      </c>
      <c r="M108" s="126">
        <f t="shared" si="51"/>
        <v>1</v>
      </c>
      <c r="N108" s="126">
        <f t="shared" si="51"/>
        <v>0</v>
      </c>
      <c r="O108" s="126">
        <f>SUM(C108:N108)</f>
        <v>13</v>
      </c>
    </row>
    <row r="109" spans="2:15" x14ac:dyDescent="0.25">
      <c r="B109" s="128" t="s">
        <v>80</v>
      </c>
      <c r="C109" s="126">
        <f>+C236+C258+C280</f>
        <v>1</v>
      </c>
      <c r="D109" s="126">
        <v>0</v>
      </c>
      <c r="E109" s="126">
        <f t="shared" ref="E109:N109" si="52">+E236+E258+E280</f>
        <v>1</v>
      </c>
      <c r="F109" s="126">
        <f t="shared" si="52"/>
        <v>2</v>
      </c>
      <c r="G109" s="126">
        <f t="shared" si="52"/>
        <v>2</v>
      </c>
      <c r="H109" s="126">
        <f t="shared" si="52"/>
        <v>2</v>
      </c>
      <c r="I109" s="126">
        <f t="shared" si="52"/>
        <v>0</v>
      </c>
      <c r="J109" s="126">
        <f t="shared" si="52"/>
        <v>0</v>
      </c>
      <c r="K109" s="126">
        <f t="shared" si="52"/>
        <v>0</v>
      </c>
      <c r="L109" s="126">
        <f t="shared" si="52"/>
        <v>0</v>
      </c>
      <c r="M109" s="126">
        <f t="shared" si="52"/>
        <v>0</v>
      </c>
      <c r="N109" s="126">
        <f t="shared" si="52"/>
        <v>0</v>
      </c>
      <c r="O109" s="126">
        <f>SUM(C109:N109)</f>
        <v>8</v>
      </c>
    </row>
    <row r="110" spans="2:15" x14ac:dyDescent="0.25">
      <c r="B110" s="128" t="s">
        <v>31</v>
      </c>
      <c r="C110" s="126">
        <f>+C237+C259+C281</f>
        <v>0</v>
      </c>
      <c r="D110" s="126">
        <f>+D237+D259+D281</f>
        <v>0</v>
      </c>
      <c r="E110" s="126">
        <f t="shared" ref="E110:N110" si="53">+E237+E259+E281</f>
        <v>0</v>
      </c>
      <c r="F110" s="126">
        <f t="shared" si="53"/>
        <v>0</v>
      </c>
      <c r="G110" s="126">
        <f t="shared" si="53"/>
        <v>0</v>
      </c>
      <c r="H110" s="126">
        <f t="shared" si="53"/>
        <v>0</v>
      </c>
      <c r="I110" s="126">
        <f t="shared" si="53"/>
        <v>0</v>
      </c>
      <c r="J110" s="126">
        <f t="shared" si="53"/>
        <v>0</v>
      </c>
      <c r="K110" s="126">
        <f t="shared" si="53"/>
        <v>1</v>
      </c>
      <c r="L110" s="126">
        <f t="shared" si="53"/>
        <v>0</v>
      </c>
      <c r="M110" s="126">
        <f t="shared" si="53"/>
        <v>0</v>
      </c>
      <c r="N110" s="126">
        <f t="shared" si="53"/>
        <v>0</v>
      </c>
      <c r="O110" s="126">
        <f>SUM(C110:N110)</f>
        <v>1</v>
      </c>
    </row>
    <row r="112" spans="2:15" x14ac:dyDescent="0.25">
      <c r="B112" s="138"/>
    </row>
    <row r="113" spans="2:15" ht="15.75" x14ac:dyDescent="0.25">
      <c r="B113" s="190" t="s">
        <v>116</v>
      </c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spans="2:15" x14ac:dyDescent="0.25">
      <c r="B114" s="139" t="s">
        <v>56</v>
      </c>
    </row>
    <row r="115" spans="2:15" x14ac:dyDescent="0.25">
      <c r="C115" s="123" t="s">
        <v>1</v>
      </c>
      <c r="D115" s="123" t="s">
        <v>2</v>
      </c>
      <c r="E115" s="123" t="s">
        <v>3</v>
      </c>
      <c r="F115" s="123" t="s">
        <v>4</v>
      </c>
      <c r="G115" s="123" t="s">
        <v>5</v>
      </c>
      <c r="H115" s="123" t="s">
        <v>6</v>
      </c>
      <c r="I115" s="123" t="s">
        <v>7</v>
      </c>
      <c r="J115" s="123" t="s">
        <v>8</v>
      </c>
      <c r="K115" s="123" t="s">
        <v>9</v>
      </c>
      <c r="L115" s="123" t="s">
        <v>10</v>
      </c>
      <c r="M115" s="123" t="s">
        <v>11</v>
      </c>
      <c r="N115" s="123" t="s">
        <v>12</v>
      </c>
      <c r="O115" s="123" t="s">
        <v>13</v>
      </c>
    </row>
    <row r="116" spans="2:15" x14ac:dyDescent="0.25">
      <c r="B116" s="128" t="s">
        <v>14</v>
      </c>
      <c r="C116" s="126">
        <v>36</v>
      </c>
      <c r="D116" s="126">
        <v>36</v>
      </c>
      <c r="E116" s="126">
        <v>36</v>
      </c>
      <c r="F116" s="126">
        <v>36</v>
      </c>
      <c r="G116" s="126">
        <v>36</v>
      </c>
      <c r="H116" s="126">
        <v>36</v>
      </c>
      <c r="I116" s="126">
        <v>36</v>
      </c>
      <c r="J116" s="126">
        <v>36</v>
      </c>
      <c r="K116" s="126">
        <v>36</v>
      </c>
      <c r="L116" s="126">
        <v>36</v>
      </c>
      <c r="M116" s="126">
        <v>36</v>
      </c>
      <c r="N116" s="126">
        <v>36</v>
      </c>
      <c r="O116" s="126">
        <v>36</v>
      </c>
    </row>
    <row r="117" spans="2:15" x14ac:dyDescent="0.25">
      <c r="B117" s="128" t="s">
        <v>15</v>
      </c>
      <c r="C117" s="126">
        <v>105</v>
      </c>
      <c r="D117" s="126">
        <v>107</v>
      </c>
      <c r="E117" s="126">
        <v>101</v>
      </c>
      <c r="F117" s="126">
        <v>129</v>
      </c>
      <c r="G117" s="126">
        <v>124</v>
      </c>
      <c r="H117" s="126">
        <v>114</v>
      </c>
      <c r="I117" s="126">
        <v>118</v>
      </c>
      <c r="J117" s="126">
        <v>115</v>
      </c>
      <c r="K117" s="126">
        <v>73</v>
      </c>
      <c r="L117" s="126">
        <v>83</v>
      </c>
      <c r="M117" s="126">
        <v>97</v>
      </c>
      <c r="N117" s="126">
        <v>84</v>
      </c>
      <c r="O117" s="126">
        <f t="shared" ref="O117:O122" si="54">SUM(C117:N117)</f>
        <v>1250</v>
      </c>
    </row>
    <row r="118" spans="2:15" x14ac:dyDescent="0.25">
      <c r="B118" s="128" t="s">
        <v>16</v>
      </c>
      <c r="C118" s="126">
        <v>99</v>
      </c>
      <c r="D118" s="126">
        <v>100</v>
      </c>
      <c r="E118" s="126">
        <v>110</v>
      </c>
      <c r="F118" s="126">
        <v>119</v>
      </c>
      <c r="G118" s="126">
        <v>127</v>
      </c>
      <c r="H118" s="126">
        <v>118</v>
      </c>
      <c r="I118" s="126">
        <v>124</v>
      </c>
      <c r="J118" s="126">
        <v>102</v>
      </c>
      <c r="K118" s="126">
        <v>81</v>
      </c>
      <c r="L118" s="126">
        <v>77</v>
      </c>
      <c r="M118" s="126">
        <v>93</v>
      </c>
      <c r="N118" s="126">
        <v>93</v>
      </c>
      <c r="O118" s="126">
        <f t="shared" si="54"/>
        <v>1243</v>
      </c>
    </row>
    <row r="119" spans="2:15" x14ac:dyDescent="0.25">
      <c r="B119" s="128" t="s">
        <v>17</v>
      </c>
      <c r="C119" s="126">
        <v>1116</v>
      </c>
      <c r="D119" s="126">
        <v>1044</v>
      </c>
      <c r="E119" s="126">
        <v>1116</v>
      </c>
      <c r="F119" s="126">
        <v>1080</v>
      </c>
      <c r="G119" s="126">
        <v>1116</v>
      </c>
      <c r="H119" s="126">
        <v>1080</v>
      </c>
      <c r="I119" s="126">
        <v>1116</v>
      </c>
      <c r="J119" s="126">
        <v>1116</v>
      </c>
      <c r="K119" s="126">
        <v>1080</v>
      </c>
      <c r="L119" s="126">
        <v>1116</v>
      </c>
      <c r="M119" s="126">
        <v>1080</v>
      </c>
      <c r="N119" s="126">
        <v>1116</v>
      </c>
      <c r="O119" s="126">
        <f t="shared" si="54"/>
        <v>13176</v>
      </c>
    </row>
    <row r="120" spans="2:15" x14ac:dyDescent="0.25">
      <c r="B120" s="128" t="s">
        <v>18</v>
      </c>
      <c r="C120" s="126">
        <v>337</v>
      </c>
      <c r="D120" s="126">
        <v>333</v>
      </c>
      <c r="E120" s="126">
        <v>344</v>
      </c>
      <c r="F120" s="126">
        <v>370</v>
      </c>
      <c r="G120" s="126">
        <v>446</v>
      </c>
      <c r="H120" s="126">
        <v>446</v>
      </c>
      <c r="I120" s="126">
        <v>339</v>
      </c>
      <c r="J120" s="126">
        <v>256</v>
      </c>
      <c r="K120" s="126">
        <v>234</v>
      </c>
      <c r="L120" s="126">
        <v>257</v>
      </c>
      <c r="M120" s="126">
        <v>311</v>
      </c>
      <c r="N120" s="126">
        <v>301</v>
      </c>
      <c r="O120" s="126">
        <f t="shared" si="54"/>
        <v>3974</v>
      </c>
    </row>
    <row r="121" spans="2:15" x14ac:dyDescent="0.25">
      <c r="B121" s="128" t="s">
        <v>19</v>
      </c>
      <c r="C121" s="126">
        <v>352</v>
      </c>
      <c r="D121" s="126">
        <v>375</v>
      </c>
      <c r="E121" s="126">
        <v>405</v>
      </c>
      <c r="F121" s="126">
        <v>398</v>
      </c>
      <c r="G121" s="126">
        <v>483</v>
      </c>
      <c r="H121" s="126">
        <v>614</v>
      </c>
      <c r="I121" s="126">
        <v>520</v>
      </c>
      <c r="J121" s="126">
        <v>294</v>
      </c>
      <c r="K121" s="126">
        <v>265</v>
      </c>
      <c r="L121" s="126">
        <v>298</v>
      </c>
      <c r="M121" s="126">
        <v>359</v>
      </c>
      <c r="N121" s="126">
        <v>330</v>
      </c>
      <c r="O121" s="126">
        <f t="shared" si="54"/>
        <v>4693</v>
      </c>
    </row>
    <row r="122" spans="2:15" x14ac:dyDescent="0.25">
      <c r="B122" s="156" t="s">
        <v>97</v>
      </c>
      <c r="C122" s="126">
        <f>7+10+8+10+17+17+18+17+13+8+10+11+5+0+2+5+11+10+8+13+7+8+10+6+5+5+5+5+5+7+5</f>
        <v>268</v>
      </c>
      <c r="D122" s="126">
        <f>8+10+8+4+8+12+12+9+8+12+13+11+13+16+10+11+7+12+13+4+9+11+13+12+3+6+8+9+14</f>
        <v>286</v>
      </c>
      <c r="E122" s="126">
        <f>12+13+0+0+3+4+2+5+7+9+8+8+11+13+10+14+5+5+3+4+6+7+11+11+13+6+12+8+11+13+7</f>
        <v>241</v>
      </c>
      <c r="F122" s="126">
        <f>7+5+12+9+9+7+5+3+4+5+10+14+14+7+7+12+10+15+12+18+14+16+10+5+13+13+17+17+17+16</f>
        <v>323</v>
      </c>
      <c r="G122" s="126">
        <f>13+16+12+15+18+13+8+13+20+18+14+12+16+20+24+20+18+19+9+9+5+5+11+6+9+6+8+8+11+10+14</f>
        <v>400</v>
      </c>
      <c r="H122" s="126">
        <f>10+11+9+9+17+20+18+14+16+15+13+15+18+22+21+11+13+17+17+22+15+13+15+8+5+1+2+8+13+10</f>
        <v>398</v>
      </c>
      <c r="I122" s="126">
        <f>1+6+7+9+11+5+7+9+12+10+12+15+15+1+5+4+9+12+10+10+9+9+13+10+14+13+12+14+13+10+5</f>
        <v>292</v>
      </c>
      <c r="J122" s="126">
        <f>4+9+4+7+6+8+8+9+14+20+16+15+13+13+11+14+9+3+2+5+6+11+14+5+7+8+6+10+14+14+15</f>
        <v>300</v>
      </c>
      <c r="K122" s="126">
        <f>10+10+10+10+7+13+17+7+9+6+8+10+12+7+8+7+9+12+7+5+8+10+11+7+7+8+9+8+8+7</f>
        <v>267</v>
      </c>
      <c r="L122" s="126">
        <f>5+6+9+11+13+10+9+4+3+5+13+13+12+12+11+8+10+11+13+9+14+13+15+15+12+12+7+12+14+8+12</f>
        <v>321</v>
      </c>
      <c r="M122" s="126">
        <f>11+10+6+6+5+8+13+14+15+16+13+10+10+9+13+17+13+11+9+12+10+6+8+10+6+14+18+17+12+16</f>
        <v>338</v>
      </c>
      <c r="N122" s="126">
        <v>302</v>
      </c>
      <c r="O122" s="126">
        <f t="shared" si="54"/>
        <v>3736</v>
      </c>
    </row>
    <row r="123" spans="2:15" x14ac:dyDescent="0.25">
      <c r="B123" s="128" t="s">
        <v>74</v>
      </c>
      <c r="C123" s="131">
        <f t="shared" ref="C123:N123" si="55">C120/C118</f>
        <v>3.404040404040404</v>
      </c>
      <c r="D123" s="131">
        <f t="shared" si="55"/>
        <v>3.33</v>
      </c>
      <c r="E123" s="131">
        <f t="shared" si="55"/>
        <v>3.1272727272727274</v>
      </c>
      <c r="F123" s="131">
        <f t="shared" si="55"/>
        <v>3.1092436974789917</v>
      </c>
      <c r="G123" s="131">
        <f t="shared" si="55"/>
        <v>3.5118110236220472</v>
      </c>
      <c r="H123" s="131">
        <f t="shared" si="55"/>
        <v>3.7796610169491527</v>
      </c>
      <c r="I123" s="131">
        <f t="shared" si="55"/>
        <v>2.7338709677419355</v>
      </c>
      <c r="J123" s="131">
        <f t="shared" si="55"/>
        <v>2.5098039215686274</v>
      </c>
      <c r="K123" s="131">
        <f t="shared" si="55"/>
        <v>2.8888888888888888</v>
      </c>
      <c r="L123" s="131">
        <f t="shared" si="55"/>
        <v>3.3376623376623376</v>
      </c>
      <c r="M123" s="131">
        <f t="shared" si="55"/>
        <v>3.3440860215053765</v>
      </c>
      <c r="N123" s="131">
        <f t="shared" si="55"/>
        <v>3.236559139784946</v>
      </c>
      <c r="O123" s="131">
        <f>O120/O118</f>
        <v>3.1971037811745777</v>
      </c>
    </row>
    <row r="124" spans="2:15" x14ac:dyDescent="0.25">
      <c r="B124" s="128" t="s">
        <v>75</v>
      </c>
      <c r="C124" s="131">
        <f t="shared" ref="C124:N124" si="56">C121/C118</f>
        <v>3.5555555555555554</v>
      </c>
      <c r="D124" s="131">
        <f t="shared" si="56"/>
        <v>3.75</v>
      </c>
      <c r="E124" s="131">
        <f t="shared" si="56"/>
        <v>3.6818181818181817</v>
      </c>
      <c r="F124" s="131">
        <f t="shared" si="56"/>
        <v>3.3445378151260505</v>
      </c>
      <c r="G124" s="131">
        <f t="shared" si="56"/>
        <v>3.8031496062992125</v>
      </c>
      <c r="H124" s="131">
        <f t="shared" si="56"/>
        <v>5.2033898305084749</v>
      </c>
      <c r="I124" s="131">
        <f t="shared" si="56"/>
        <v>4.193548387096774</v>
      </c>
      <c r="J124" s="131">
        <f t="shared" si="56"/>
        <v>2.8823529411764706</v>
      </c>
      <c r="K124" s="131">
        <f t="shared" si="56"/>
        <v>3.2716049382716048</v>
      </c>
      <c r="L124" s="131">
        <f t="shared" si="56"/>
        <v>3.8701298701298703</v>
      </c>
      <c r="M124" s="131">
        <f t="shared" si="56"/>
        <v>3.860215053763441</v>
      </c>
      <c r="N124" s="131">
        <f t="shared" si="56"/>
        <v>3.5483870967741935</v>
      </c>
      <c r="O124" s="131">
        <f>O121/O118</f>
        <v>3.7755430410297666</v>
      </c>
    </row>
    <row r="125" spans="2:15" x14ac:dyDescent="0.25">
      <c r="B125" s="128" t="s">
        <v>76</v>
      </c>
      <c r="C125" s="131">
        <f t="shared" ref="C125:N125" si="57">C120/C119*100</f>
        <v>30.197132616487455</v>
      </c>
      <c r="D125" s="131">
        <f t="shared" si="57"/>
        <v>31.896551724137932</v>
      </c>
      <c r="E125" s="131">
        <f t="shared" si="57"/>
        <v>30.824372759856633</v>
      </c>
      <c r="F125" s="131">
        <f t="shared" si="57"/>
        <v>34.25925925925926</v>
      </c>
      <c r="G125" s="131">
        <f t="shared" si="57"/>
        <v>39.964157706093189</v>
      </c>
      <c r="H125" s="131">
        <f t="shared" si="57"/>
        <v>41.296296296296298</v>
      </c>
      <c r="I125" s="131">
        <f t="shared" si="57"/>
        <v>30.376344086021508</v>
      </c>
      <c r="J125" s="131">
        <f t="shared" si="57"/>
        <v>22.939068100358423</v>
      </c>
      <c r="K125" s="131">
        <f t="shared" si="57"/>
        <v>21.666666666666668</v>
      </c>
      <c r="L125" s="131">
        <f t="shared" si="57"/>
        <v>23.028673835125449</v>
      </c>
      <c r="M125" s="131">
        <f t="shared" si="57"/>
        <v>28.796296296296298</v>
      </c>
      <c r="N125" s="131">
        <f t="shared" si="57"/>
        <v>26.971326164874554</v>
      </c>
      <c r="O125" s="131">
        <f>O120/O119*100</f>
        <v>30.160898603521552</v>
      </c>
    </row>
    <row r="126" spans="2:15" x14ac:dyDescent="0.25">
      <c r="B126" s="128" t="s">
        <v>77</v>
      </c>
      <c r="C126" s="131">
        <f t="shared" ref="C126:N126" si="58">C118/C116</f>
        <v>2.75</v>
      </c>
      <c r="D126" s="131">
        <f t="shared" si="58"/>
        <v>2.7777777777777777</v>
      </c>
      <c r="E126" s="131">
        <f t="shared" si="58"/>
        <v>3.0555555555555554</v>
      </c>
      <c r="F126" s="131">
        <f t="shared" si="58"/>
        <v>3.3055555555555554</v>
      </c>
      <c r="G126" s="131">
        <f t="shared" si="58"/>
        <v>3.5277777777777777</v>
      </c>
      <c r="H126" s="131">
        <f t="shared" si="58"/>
        <v>3.2777777777777777</v>
      </c>
      <c r="I126" s="131">
        <f t="shared" si="58"/>
        <v>3.4444444444444446</v>
      </c>
      <c r="J126" s="131">
        <f t="shared" si="58"/>
        <v>2.8333333333333335</v>
      </c>
      <c r="K126" s="131">
        <f t="shared" si="58"/>
        <v>2.25</v>
      </c>
      <c r="L126" s="131">
        <f t="shared" si="58"/>
        <v>2.1388888888888888</v>
      </c>
      <c r="M126" s="131">
        <f t="shared" si="58"/>
        <v>2.5833333333333335</v>
      </c>
      <c r="N126" s="131">
        <f t="shared" si="58"/>
        <v>2.5833333333333335</v>
      </c>
      <c r="O126" s="131">
        <f>O118/O116</f>
        <v>34.527777777777779</v>
      </c>
    </row>
    <row r="127" spans="2:15" x14ac:dyDescent="0.25">
      <c r="B127" s="128" t="s">
        <v>24</v>
      </c>
      <c r="C127" s="126">
        <v>7.87</v>
      </c>
      <c r="D127" s="131">
        <v>7.11</v>
      </c>
      <c r="E127" s="131">
        <v>7.02</v>
      </c>
      <c r="F127" s="131">
        <v>5.97</v>
      </c>
      <c r="G127" s="131">
        <v>5.28</v>
      </c>
      <c r="H127" s="131">
        <v>5.37</v>
      </c>
      <c r="I127" s="126">
        <v>6.27</v>
      </c>
      <c r="J127" s="131">
        <v>5.6</v>
      </c>
      <c r="K127" s="126">
        <v>10.06</v>
      </c>
      <c r="L127" s="126">
        <v>11.16</v>
      </c>
      <c r="M127" s="131">
        <v>8.27</v>
      </c>
      <c r="N127" s="126">
        <v>9.82</v>
      </c>
      <c r="O127" s="131">
        <v>8.34</v>
      </c>
    </row>
    <row r="128" spans="2:15" x14ac:dyDescent="0.25">
      <c r="B128" s="156" t="s">
        <v>98</v>
      </c>
      <c r="C128" s="131">
        <f>C122/C119*100</f>
        <v>24.014336917562723</v>
      </c>
      <c r="D128" s="131">
        <f t="shared" ref="D128:O128" si="59">D122/D119*100</f>
        <v>27.39463601532567</v>
      </c>
      <c r="E128" s="131">
        <f t="shared" si="59"/>
        <v>21.594982078853047</v>
      </c>
      <c r="F128" s="131">
        <f t="shared" si="59"/>
        <v>29.907407407407405</v>
      </c>
      <c r="G128" s="131">
        <f t="shared" si="59"/>
        <v>35.842293906810035</v>
      </c>
      <c r="H128" s="131">
        <f t="shared" si="59"/>
        <v>36.851851851851855</v>
      </c>
      <c r="I128" s="131">
        <f t="shared" si="59"/>
        <v>26.16487455197133</v>
      </c>
      <c r="J128" s="131">
        <f t="shared" si="59"/>
        <v>26.881720430107524</v>
      </c>
      <c r="K128" s="131">
        <f t="shared" si="59"/>
        <v>24.722222222222221</v>
      </c>
      <c r="L128" s="131">
        <f t="shared" si="59"/>
        <v>28.763440860215056</v>
      </c>
      <c r="M128" s="131">
        <f t="shared" si="59"/>
        <v>31.296296296296294</v>
      </c>
      <c r="N128" s="131">
        <f t="shared" si="59"/>
        <v>27.060931899641577</v>
      </c>
      <c r="O128" s="131">
        <f t="shared" si="59"/>
        <v>28.354584092289009</v>
      </c>
    </row>
    <row r="129" spans="2:15" x14ac:dyDescent="0.25">
      <c r="B129" s="128" t="s">
        <v>26</v>
      </c>
      <c r="C129" s="126">
        <v>0</v>
      </c>
      <c r="D129" s="126">
        <v>0</v>
      </c>
      <c r="E129" s="126">
        <v>0</v>
      </c>
      <c r="F129" s="126">
        <v>0</v>
      </c>
      <c r="G129" s="126">
        <v>0</v>
      </c>
      <c r="H129" s="126">
        <v>0</v>
      </c>
      <c r="I129" s="126">
        <v>0</v>
      </c>
      <c r="J129" s="126">
        <v>0</v>
      </c>
      <c r="K129" s="126">
        <v>0</v>
      </c>
      <c r="L129" s="126">
        <v>0</v>
      </c>
      <c r="M129" s="126">
        <v>0</v>
      </c>
      <c r="N129" s="126">
        <v>0</v>
      </c>
      <c r="O129" s="126">
        <f>SUM(C129:N129)</f>
        <v>0</v>
      </c>
    </row>
    <row r="130" spans="2:15" x14ac:dyDescent="0.25">
      <c r="B130" s="128" t="s">
        <v>79</v>
      </c>
      <c r="C130" s="126">
        <v>0</v>
      </c>
      <c r="D130" s="126">
        <v>0</v>
      </c>
      <c r="E130" s="126">
        <v>0</v>
      </c>
      <c r="F130" s="126">
        <v>0</v>
      </c>
      <c r="G130" s="126">
        <v>0</v>
      </c>
      <c r="H130" s="126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26">
        <v>0</v>
      </c>
      <c r="O130" s="126">
        <f>SUM(C130:N130)</f>
        <v>0</v>
      </c>
    </row>
    <row r="131" spans="2:15" x14ac:dyDescent="0.25">
      <c r="B131" s="128" t="s">
        <v>80</v>
      </c>
      <c r="C131" s="126">
        <v>0</v>
      </c>
      <c r="D131" s="126">
        <v>0</v>
      </c>
      <c r="E131" s="126">
        <v>0</v>
      </c>
      <c r="F131" s="126">
        <v>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126">
        <v>0</v>
      </c>
      <c r="M131" s="126">
        <v>0</v>
      </c>
      <c r="N131" s="126">
        <v>0</v>
      </c>
      <c r="O131" s="126">
        <f>SUM(C131:N131)</f>
        <v>0</v>
      </c>
    </row>
    <row r="132" spans="2:15" x14ac:dyDescent="0.25">
      <c r="B132" s="128" t="s">
        <v>31</v>
      </c>
      <c r="C132" s="126">
        <v>0</v>
      </c>
      <c r="D132" s="126">
        <v>1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126">
        <v>0</v>
      </c>
      <c r="O132" s="126">
        <f>SUM(C132:N132)</f>
        <v>1</v>
      </c>
    </row>
    <row r="133" spans="2:15" x14ac:dyDescent="0.25">
      <c r="B133" s="137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</row>
    <row r="134" spans="2:15" x14ac:dyDescent="0.25">
      <c r="B134" s="138"/>
    </row>
    <row r="135" spans="2:15" ht="15.75" x14ac:dyDescent="0.25">
      <c r="D135" s="190" t="s">
        <v>116</v>
      </c>
      <c r="E135" s="190"/>
      <c r="F135" s="190"/>
      <c r="G135" s="190"/>
      <c r="H135" s="190"/>
      <c r="I135" s="190"/>
      <c r="J135" s="190"/>
      <c r="K135" s="190"/>
      <c r="L135" s="190"/>
      <c r="M135" s="138" t="s">
        <v>57</v>
      </c>
    </row>
    <row r="136" spans="2:15" x14ac:dyDescent="0.25">
      <c r="B136" s="139" t="s">
        <v>57</v>
      </c>
    </row>
    <row r="137" spans="2:15" x14ac:dyDescent="0.25">
      <c r="C137" s="123" t="s">
        <v>1</v>
      </c>
      <c r="D137" s="123" t="s">
        <v>2</v>
      </c>
      <c r="E137" s="123" t="s">
        <v>3</v>
      </c>
      <c r="F137" s="123" t="s">
        <v>4</v>
      </c>
      <c r="G137" s="123" t="s">
        <v>5</v>
      </c>
      <c r="H137" s="123" t="s">
        <v>6</v>
      </c>
      <c r="I137" s="123" t="s">
        <v>7</v>
      </c>
      <c r="J137" s="123" t="s">
        <v>8</v>
      </c>
      <c r="K137" s="123" t="s">
        <v>9</v>
      </c>
      <c r="L137" s="123" t="s">
        <v>10</v>
      </c>
      <c r="M137" s="123" t="s">
        <v>11</v>
      </c>
      <c r="N137" s="123" t="s">
        <v>12</v>
      </c>
      <c r="O137" s="123" t="s">
        <v>13</v>
      </c>
    </row>
    <row r="138" spans="2:15" x14ac:dyDescent="0.25">
      <c r="B138" s="128" t="s">
        <v>14</v>
      </c>
      <c r="C138" s="126">
        <v>8</v>
      </c>
      <c r="D138" s="126">
        <v>8</v>
      </c>
      <c r="E138" s="126">
        <v>8</v>
      </c>
      <c r="F138" s="126">
        <v>8</v>
      </c>
      <c r="G138" s="126">
        <v>8</v>
      </c>
      <c r="H138" s="126">
        <v>8</v>
      </c>
      <c r="I138" s="126">
        <v>8</v>
      </c>
      <c r="J138" s="126">
        <v>8</v>
      </c>
      <c r="K138" s="126">
        <v>8</v>
      </c>
      <c r="L138" s="126">
        <v>8</v>
      </c>
      <c r="M138" s="126">
        <v>8</v>
      </c>
      <c r="N138" s="126">
        <v>8</v>
      </c>
      <c r="O138" s="126">
        <v>8</v>
      </c>
    </row>
    <row r="139" spans="2:15" x14ac:dyDescent="0.25">
      <c r="B139" s="128" t="s">
        <v>15</v>
      </c>
      <c r="C139" s="126">
        <v>22</v>
      </c>
      <c r="D139" s="126">
        <v>23</v>
      </c>
      <c r="E139" s="126">
        <v>29</v>
      </c>
      <c r="F139" s="126">
        <v>29</v>
      </c>
      <c r="G139" s="126">
        <v>24</v>
      </c>
      <c r="H139" s="126">
        <v>18</v>
      </c>
      <c r="I139" s="126">
        <v>28</v>
      </c>
      <c r="J139" s="126">
        <v>26</v>
      </c>
      <c r="K139" s="126">
        <v>17</v>
      </c>
      <c r="L139" s="126">
        <v>12</v>
      </c>
      <c r="M139" s="126">
        <v>18</v>
      </c>
      <c r="N139" s="126">
        <v>25</v>
      </c>
      <c r="O139" s="126">
        <f t="shared" ref="O139:O154" si="60">SUM(C139:N139)</f>
        <v>271</v>
      </c>
    </row>
    <row r="140" spans="2:15" x14ac:dyDescent="0.25">
      <c r="B140" s="128" t="s">
        <v>16</v>
      </c>
      <c r="C140" s="126">
        <v>23</v>
      </c>
      <c r="D140" s="126">
        <v>26</v>
      </c>
      <c r="E140" s="126">
        <v>29</v>
      </c>
      <c r="F140" s="126">
        <v>29</v>
      </c>
      <c r="G140" s="126">
        <v>22</v>
      </c>
      <c r="H140" s="126">
        <v>20</v>
      </c>
      <c r="I140" s="126">
        <v>30</v>
      </c>
      <c r="J140" s="126">
        <v>27</v>
      </c>
      <c r="K140" s="126">
        <v>18</v>
      </c>
      <c r="L140" s="126">
        <v>10</v>
      </c>
      <c r="M140" s="126">
        <v>22</v>
      </c>
      <c r="N140" s="126">
        <v>26</v>
      </c>
      <c r="O140" s="126">
        <f t="shared" si="60"/>
        <v>282</v>
      </c>
    </row>
    <row r="141" spans="2:15" x14ac:dyDescent="0.25">
      <c r="B141" s="128" t="s">
        <v>17</v>
      </c>
      <c r="C141" s="126">
        <v>248</v>
      </c>
      <c r="D141" s="126">
        <v>232</v>
      </c>
      <c r="E141" s="126">
        <v>248</v>
      </c>
      <c r="F141" s="126">
        <v>240</v>
      </c>
      <c r="G141" s="126">
        <v>248</v>
      </c>
      <c r="H141" s="126">
        <v>240</v>
      </c>
      <c r="I141" s="126">
        <v>248</v>
      </c>
      <c r="J141" s="126">
        <v>248</v>
      </c>
      <c r="K141" s="126">
        <v>240</v>
      </c>
      <c r="L141" s="126">
        <v>248</v>
      </c>
      <c r="M141" s="126">
        <v>240</v>
      </c>
      <c r="N141" s="126">
        <v>248</v>
      </c>
      <c r="O141" s="126">
        <f t="shared" si="60"/>
        <v>2928</v>
      </c>
    </row>
    <row r="142" spans="2:15" x14ac:dyDescent="0.25">
      <c r="B142" s="128" t="s">
        <v>18</v>
      </c>
      <c r="C142" s="126">
        <v>74</v>
      </c>
      <c r="D142" s="126">
        <v>76</v>
      </c>
      <c r="E142" s="126">
        <v>79</v>
      </c>
      <c r="F142" s="126">
        <v>96</v>
      </c>
      <c r="G142" s="126">
        <v>87</v>
      </c>
      <c r="H142" s="126">
        <v>54</v>
      </c>
      <c r="I142" s="126">
        <v>94</v>
      </c>
      <c r="J142" s="126">
        <v>80</v>
      </c>
      <c r="K142" s="126">
        <v>64</v>
      </c>
      <c r="L142" s="126">
        <v>24</v>
      </c>
      <c r="M142" s="126">
        <v>73</v>
      </c>
      <c r="N142" s="126">
        <v>86</v>
      </c>
      <c r="O142" s="126">
        <f t="shared" si="60"/>
        <v>887</v>
      </c>
    </row>
    <row r="143" spans="2:15" x14ac:dyDescent="0.25">
      <c r="B143" s="128" t="s">
        <v>19</v>
      </c>
      <c r="C143" s="126">
        <v>76</v>
      </c>
      <c r="D143" s="126">
        <v>80</v>
      </c>
      <c r="E143" s="126">
        <v>81</v>
      </c>
      <c r="F143" s="126">
        <v>102</v>
      </c>
      <c r="G143" s="126">
        <v>88</v>
      </c>
      <c r="H143" s="126">
        <v>67</v>
      </c>
      <c r="I143" s="126">
        <v>103</v>
      </c>
      <c r="J143" s="126">
        <v>81</v>
      </c>
      <c r="K143" s="126">
        <v>91</v>
      </c>
      <c r="L143" s="126">
        <v>24</v>
      </c>
      <c r="M143" s="126">
        <v>77</v>
      </c>
      <c r="N143" s="126">
        <v>88</v>
      </c>
      <c r="O143" s="126">
        <f t="shared" si="60"/>
        <v>958</v>
      </c>
    </row>
    <row r="144" spans="2:15" x14ac:dyDescent="0.25">
      <c r="B144" s="128" t="s">
        <v>99</v>
      </c>
      <c r="C144" s="126">
        <v>52</v>
      </c>
      <c r="D144" s="126">
        <v>60</v>
      </c>
      <c r="E144" s="126">
        <v>66</v>
      </c>
      <c r="F144" s="126">
        <v>58</v>
      </c>
      <c r="G144" s="126">
        <v>62</v>
      </c>
      <c r="H144" s="126">
        <v>45</v>
      </c>
      <c r="I144" s="126">
        <v>63</v>
      </c>
      <c r="J144" s="126">
        <v>62</v>
      </c>
      <c r="K144" s="126">
        <v>50</v>
      </c>
      <c r="L144" s="126">
        <v>45</v>
      </c>
      <c r="M144" s="126">
        <v>65</v>
      </c>
      <c r="N144" s="126">
        <v>62</v>
      </c>
      <c r="O144" s="126">
        <f t="shared" si="60"/>
        <v>690</v>
      </c>
    </row>
    <row r="145" spans="2:15" x14ac:dyDescent="0.25">
      <c r="B145" s="128" t="s">
        <v>74</v>
      </c>
      <c r="C145" s="131">
        <f>C142/C140</f>
        <v>3.2173913043478262</v>
      </c>
      <c r="D145" s="131">
        <f t="shared" ref="D145:N145" si="61">D142/D140</f>
        <v>2.9230769230769229</v>
      </c>
      <c r="E145" s="131">
        <f t="shared" si="61"/>
        <v>2.7241379310344827</v>
      </c>
      <c r="F145" s="131">
        <f t="shared" si="61"/>
        <v>3.3103448275862069</v>
      </c>
      <c r="G145" s="131">
        <f t="shared" si="61"/>
        <v>3.9545454545454546</v>
      </c>
      <c r="H145" s="131">
        <f t="shared" si="61"/>
        <v>2.7</v>
      </c>
      <c r="I145" s="131">
        <f t="shared" si="61"/>
        <v>3.1333333333333333</v>
      </c>
      <c r="J145" s="131">
        <f t="shared" si="61"/>
        <v>2.9629629629629628</v>
      </c>
      <c r="K145" s="131">
        <f t="shared" si="61"/>
        <v>3.5555555555555554</v>
      </c>
      <c r="L145" s="131">
        <f t="shared" si="61"/>
        <v>2.4</v>
      </c>
      <c r="M145" s="131">
        <f t="shared" si="61"/>
        <v>3.3181818181818183</v>
      </c>
      <c r="N145" s="131">
        <f t="shared" si="61"/>
        <v>3.3076923076923075</v>
      </c>
      <c r="O145" s="131">
        <f>O142/O140</f>
        <v>3.145390070921986</v>
      </c>
    </row>
    <row r="146" spans="2:15" x14ac:dyDescent="0.25">
      <c r="B146" s="128" t="s">
        <v>75</v>
      </c>
      <c r="C146" s="131">
        <f>C143/C140</f>
        <v>3.3043478260869565</v>
      </c>
      <c r="D146" s="131">
        <f t="shared" ref="D146:N146" si="62">D143/D140</f>
        <v>3.0769230769230771</v>
      </c>
      <c r="E146" s="131">
        <f t="shared" si="62"/>
        <v>2.7931034482758621</v>
      </c>
      <c r="F146" s="131">
        <f t="shared" si="62"/>
        <v>3.5172413793103448</v>
      </c>
      <c r="G146" s="131">
        <f t="shared" si="62"/>
        <v>4</v>
      </c>
      <c r="H146" s="131">
        <f t="shared" si="62"/>
        <v>3.35</v>
      </c>
      <c r="I146" s="131">
        <f t="shared" si="62"/>
        <v>3.4333333333333331</v>
      </c>
      <c r="J146" s="131">
        <f t="shared" si="62"/>
        <v>3</v>
      </c>
      <c r="K146" s="131">
        <f t="shared" si="62"/>
        <v>5.0555555555555554</v>
      </c>
      <c r="L146" s="131">
        <f t="shared" si="62"/>
        <v>2.4</v>
      </c>
      <c r="M146" s="131">
        <f t="shared" si="62"/>
        <v>3.5</v>
      </c>
      <c r="N146" s="131">
        <f t="shared" si="62"/>
        <v>3.3846153846153846</v>
      </c>
      <c r="O146" s="131">
        <f>O143/O140</f>
        <v>3.397163120567376</v>
      </c>
    </row>
    <row r="147" spans="2:15" x14ac:dyDescent="0.25">
      <c r="B147" s="128" t="s">
        <v>76</v>
      </c>
      <c r="C147" s="131">
        <f>C142/C141*100</f>
        <v>29.838709677419356</v>
      </c>
      <c r="D147" s="131">
        <f t="shared" ref="D147:N147" si="63">D142/D141*100</f>
        <v>32.758620689655174</v>
      </c>
      <c r="E147" s="131">
        <f t="shared" si="63"/>
        <v>31.85483870967742</v>
      </c>
      <c r="F147" s="131">
        <f t="shared" si="63"/>
        <v>40</v>
      </c>
      <c r="G147" s="131">
        <f t="shared" si="63"/>
        <v>35.080645161290327</v>
      </c>
      <c r="H147" s="131">
        <f t="shared" si="63"/>
        <v>22.5</v>
      </c>
      <c r="I147" s="131">
        <f t="shared" si="63"/>
        <v>37.903225806451616</v>
      </c>
      <c r="J147" s="131">
        <f t="shared" si="63"/>
        <v>32.258064516129032</v>
      </c>
      <c r="K147" s="131">
        <f t="shared" si="63"/>
        <v>26.666666666666668</v>
      </c>
      <c r="L147" s="131">
        <f t="shared" si="63"/>
        <v>9.67741935483871</v>
      </c>
      <c r="M147" s="131">
        <f t="shared" si="63"/>
        <v>30.416666666666664</v>
      </c>
      <c r="N147" s="131">
        <f t="shared" si="63"/>
        <v>34.677419354838712</v>
      </c>
      <c r="O147" s="131">
        <f>O142/O141*100</f>
        <v>30.293715846994534</v>
      </c>
    </row>
    <row r="148" spans="2:15" x14ac:dyDescent="0.25">
      <c r="B148" s="128" t="s">
        <v>77</v>
      </c>
      <c r="C148" s="131">
        <f>C140/C138</f>
        <v>2.875</v>
      </c>
      <c r="D148" s="131">
        <f t="shared" ref="D148:N148" si="64">D140/D138</f>
        <v>3.25</v>
      </c>
      <c r="E148" s="131">
        <f t="shared" si="64"/>
        <v>3.625</v>
      </c>
      <c r="F148" s="131">
        <f t="shared" si="64"/>
        <v>3.625</v>
      </c>
      <c r="G148" s="131">
        <f t="shared" si="64"/>
        <v>2.75</v>
      </c>
      <c r="H148" s="131">
        <f t="shared" si="64"/>
        <v>2.5</v>
      </c>
      <c r="I148" s="131">
        <f t="shared" si="64"/>
        <v>3.75</v>
      </c>
      <c r="J148" s="131">
        <f t="shared" si="64"/>
        <v>3.375</v>
      </c>
      <c r="K148" s="131">
        <f t="shared" si="64"/>
        <v>2.25</v>
      </c>
      <c r="L148" s="131">
        <f t="shared" si="64"/>
        <v>1.25</v>
      </c>
      <c r="M148" s="131">
        <f t="shared" si="64"/>
        <v>2.75</v>
      </c>
      <c r="N148" s="131">
        <f t="shared" si="64"/>
        <v>3.25</v>
      </c>
      <c r="O148" s="131">
        <f>O140/O138</f>
        <v>35.25</v>
      </c>
    </row>
    <row r="149" spans="2:15" x14ac:dyDescent="0.25">
      <c r="B149" s="128" t="s">
        <v>24</v>
      </c>
      <c r="C149" s="126">
        <v>7.87</v>
      </c>
      <c r="D149" s="131">
        <v>6</v>
      </c>
      <c r="E149" s="131">
        <v>5.83</v>
      </c>
      <c r="F149" s="131">
        <v>4.97</v>
      </c>
      <c r="G149" s="126">
        <v>7.32</v>
      </c>
      <c r="H149" s="131">
        <v>9.3000000000000007</v>
      </c>
      <c r="I149" s="131">
        <v>5.13</v>
      </c>
      <c r="J149" s="126">
        <v>6.19</v>
      </c>
      <c r="K149" s="126">
        <v>8.2799999999999994</v>
      </c>
      <c r="L149" s="131">
        <v>22.4</v>
      </c>
      <c r="M149" s="131">
        <v>7.59</v>
      </c>
      <c r="N149" s="187" t="s">
        <v>117</v>
      </c>
      <c r="O149" s="131"/>
    </row>
    <row r="150" spans="2:15" x14ac:dyDescent="0.25">
      <c r="B150" s="128" t="s">
        <v>94</v>
      </c>
      <c r="C150" s="131">
        <f>C144/C141*100</f>
        <v>20.967741935483872</v>
      </c>
      <c r="D150" s="131">
        <f t="shared" ref="D150:O150" si="65">D144/D141*100</f>
        <v>25.862068965517242</v>
      </c>
      <c r="E150" s="131">
        <f t="shared" si="65"/>
        <v>26.612903225806448</v>
      </c>
      <c r="F150" s="131">
        <f t="shared" si="65"/>
        <v>24.166666666666668</v>
      </c>
      <c r="G150" s="131">
        <f t="shared" si="65"/>
        <v>25</v>
      </c>
      <c r="H150" s="131">
        <f t="shared" si="65"/>
        <v>18.75</v>
      </c>
      <c r="I150" s="131">
        <f t="shared" si="65"/>
        <v>25.403225806451612</v>
      </c>
      <c r="J150" s="131">
        <f t="shared" si="65"/>
        <v>25</v>
      </c>
      <c r="K150" s="131">
        <f t="shared" si="65"/>
        <v>20.833333333333336</v>
      </c>
      <c r="L150" s="131">
        <f t="shared" si="65"/>
        <v>18.14516129032258</v>
      </c>
      <c r="M150" s="131">
        <f t="shared" si="65"/>
        <v>27.083333333333332</v>
      </c>
      <c r="N150" s="165">
        <f t="shared" si="65"/>
        <v>25</v>
      </c>
      <c r="O150" s="165">
        <f t="shared" si="65"/>
        <v>23.565573770491806</v>
      </c>
    </row>
    <row r="151" spans="2:15" x14ac:dyDescent="0.25">
      <c r="B151" s="128" t="s">
        <v>26</v>
      </c>
      <c r="C151" s="126">
        <v>0</v>
      </c>
      <c r="D151" s="126">
        <v>0</v>
      </c>
      <c r="E151" s="126">
        <v>0</v>
      </c>
      <c r="F151" s="126">
        <v>0</v>
      </c>
      <c r="G151" s="126">
        <v>0</v>
      </c>
      <c r="H151" s="126">
        <v>0</v>
      </c>
      <c r="I151" s="126">
        <v>0</v>
      </c>
      <c r="J151" s="126">
        <v>0</v>
      </c>
      <c r="K151" s="126">
        <v>0</v>
      </c>
      <c r="L151" s="126">
        <v>0</v>
      </c>
      <c r="M151" s="126">
        <v>0</v>
      </c>
      <c r="N151" s="126">
        <v>0</v>
      </c>
      <c r="O151" s="126">
        <f t="shared" si="60"/>
        <v>0</v>
      </c>
    </row>
    <row r="152" spans="2:15" x14ac:dyDescent="0.25">
      <c r="B152" s="128" t="s">
        <v>79</v>
      </c>
      <c r="C152" s="126">
        <v>0</v>
      </c>
      <c r="D152" s="126">
        <v>0</v>
      </c>
      <c r="E152" s="126">
        <v>0</v>
      </c>
      <c r="F152" s="126">
        <v>0</v>
      </c>
      <c r="G152" s="126">
        <v>0</v>
      </c>
      <c r="H152" s="126">
        <v>0</v>
      </c>
      <c r="I152" s="126">
        <v>0</v>
      </c>
      <c r="J152" s="126">
        <v>0</v>
      </c>
      <c r="K152" s="126">
        <v>0</v>
      </c>
      <c r="L152" s="126">
        <v>0</v>
      </c>
      <c r="M152" s="126">
        <v>0</v>
      </c>
      <c r="N152" s="126">
        <v>0</v>
      </c>
      <c r="O152" s="126">
        <f t="shared" si="60"/>
        <v>0</v>
      </c>
    </row>
    <row r="153" spans="2:15" x14ac:dyDescent="0.25">
      <c r="B153" s="128" t="s">
        <v>80</v>
      </c>
      <c r="C153" s="126">
        <v>0</v>
      </c>
      <c r="D153" s="126">
        <v>0</v>
      </c>
      <c r="E153" s="126">
        <v>0</v>
      </c>
      <c r="F153" s="126">
        <v>0</v>
      </c>
      <c r="G153" s="126">
        <v>0</v>
      </c>
      <c r="H153" s="126">
        <v>0</v>
      </c>
      <c r="I153" s="126">
        <v>0</v>
      </c>
      <c r="J153" s="126">
        <v>0</v>
      </c>
      <c r="K153" s="126">
        <v>0</v>
      </c>
      <c r="L153" s="126">
        <v>0</v>
      </c>
      <c r="M153" s="126">
        <v>0</v>
      </c>
      <c r="N153" s="126">
        <v>0</v>
      </c>
      <c r="O153" s="126">
        <f t="shared" si="60"/>
        <v>0</v>
      </c>
    </row>
    <row r="154" spans="2:15" x14ac:dyDescent="0.25">
      <c r="B154" s="128" t="s">
        <v>31</v>
      </c>
      <c r="C154" s="126">
        <v>0</v>
      </c>
      <c r="D154" s="126">
        <v>1</v>
      </c>
      <c r="E154" s="126">
        <v>0</v>
      </c>
      <c r="F154" s="126">
        <v>1</v>
      </c>
      <c r="G154" s="126">
        <v>0</v>
      </c>
      <c r="H154" s="126">
        <v>2</v>
      </c>
      <c r="I154" s="126">
        <v>0</v>
      </c>
      <c r="J154" s="126">
        <v>0</v>
      </c>
      <c r="K154" s="126">
        <v>0</v>
      </c>
      <c r="L154" s="126">
        <v>0</v>
      </c>
      <c r="M154" s="126">
        <v>0</v>
      </c>
      <c r="N154" s="126">
        <v>0</v>
      </c>
      <c r="O154" s="126">
        <f t="shared" si="60"/>
        <v>4</v>
      </c>
    </row>
    <row r="156" spans="2:15" ht="15.75" x14ac:dyDescent="0.25">
      <c r="C156" s="167"/>
      <c r="D156" s="167"/>
      <c r="E156" s="167"/>
      <c r="F156" s="167"/>
      <c r="G156" s="167"/>
      <c r="H156" s="167"/>
      <c r="I156" s="167"/>
      <c r="J156" s="167"/>
    </row>
    <row r="157" spans="2:15" ht="15.75" x14ac:dyDescent="0.25">
      <c r="C157" s="190" t="s">
        <v>116</v>
      </c>
      <c r="D157" s="190"/>
      <c r="E157" s="190"/>
      <c r="F157" s="190"/>
      <c r="G157" s="190"/>
      <c r="H157" s="190"/>
      <c r="I157" s="190"/>
      <c r="J157" s="190"/>
    </row>
    <row r="158" spans="2:15" x14ac:dyDescent="0.25">
      <c r="B158" s="139" t="s">
        <v>58</v>
      </c>
      <c r="M158" s="138" t="s">
        <v>58</v>
      </c>
    </row>
    <row r="159" spans="2:15" x14ac:dyDescent="0.25">
      <c r="C159" s="123" t="s">
        <v>1</v>
      </c>
      <c r="D159" s="168" t="s">
        <v>2</v>
      </c>
      <c r="E159" s="123" t="s">
        <v>3</v>
      </c>
      <c r="F159" s="123" t="s">
        <v>4</v>
      </c>
      <c r="G159" s="123" t="s">
        <v>5</v>
      </c>
      <c r="H159" s="123" t="s">
        <v>6</v>
      </c>
      <c r="I159" s="123" t="s">
        <v>7</v>
      </c>
      <c r="J159" s="123" t="s">
        <v>8</v>
      </c>
      <c r="K159" s="169" t="s">
        <v>9</v>
      </c>
      <c r="L159" s="168" t="s">
        <v>10</v>
      </c>
      <c r="M159" s="168" t="s">
        <v>11</v>
      </c>
      <c r="N159" s="168" t="s">
        <v>12</v>
      </c>
      <c r="O159" s="123" t="s">
        <v>13</v>
      </c>
    </row>
    <row r="160" spans="2:15" x14ac:dyDescent="0.25">
      <c r="B160" s="128" t="s">
        <v>14</v>
      </c>
      <c r="C160" s="126">
        <v>31</v>
      </c>
      <c r="D160" s="126">
        <v>31</v>
      </c>
      <c r="E160" s="126">
        <v>31</v>
      </c>
      <c r="F160" s="126">
        <v>31</v>
      </c>
      <c r="G160" s="126">
        <v>31</v>
      </c>
      <c r="H160" s="126">
        <v>31</v>
      </c>
      <c r="I160" s="126">
        <v>31</v>
      </c>
      <c r="J160" s="126">
        <v>31</v>
      </c>
      <c r="K160" s="126">
        <v>31</v>
      </c>
      <c r="L160" s="126">
        <v>31</v>
      </c>
      <c r="M160" s="126">
        <v>31</v>
      </c>
      <c r="N160" s="126">
        <v>31</v>
      </c>
      <c r="O160" s="126">
        <v>31</v>
      </c>
    </row>
    <row r="161" spans="2:15" x14ac:dyDescent="0.25">
      <c r="B161" s="128" t="s">
        <v>15</v>
      </c>
      <c r="C161" s="126">
        <v>368</v>
      </c>
      <c r="D161" s="126">
        <v>339</v>
      </c>
      <c r="E161" s="126">
        <v>340</v>
      </c>
      <c r="F161" s="126">
        <v>332</v>
      </c>
      <c r="G161" s="126">
        <v>346</v>
      </c>
      <c r="H161" s="126">
        <v>320</v>
      </c>
      <c r="I161" s="126">
        <v>344</v>
      </c>
      <c r="J161" s="126">
        <v>346</v>
      </c>
      <c r="K161" s="126">
        <v>283</v>
      </c>
      <c r="L161" s="126">
        <v>314</v>
      </c>
      <c r="M161" s="126">
        <v>335</v>
      </c>
      <c r="N161" s="126">
        <v>316</v>
      </c>
      <c r="O161" s="126">
        <f t="shared" ref="O161:O184" si="66">SUM(C161:N161)</f>
        <v>3983</v>
      </c>
    </row>
    <row r="162" spans="2:15" x14ac:dyDescent="0.25">
      <c r="B162" s="128" t="s">
        <v>16</v>
      </c>
      <c r="C162" s="126">
        <v>360</v>
      </c>
      <c r="D162" s="126">
        <v>314</v>
      </c>
      <c r="E162" s="126">
        <v>337</v>
      </c>
      <c r="F162" s="126">
        <v>317</v>
      </c>
      <c r="G162" s="126">
        <v>345</v>
      </c>
      <c r="H162" s="126">
        <v>331</v>
      </c>
      <c r="I162" s="126">
        <v>327</v>
      </c>
      <c r="J162" s="126">
        <v>341</v>
      </c>
      <c r="K162" s="126">
        <v>295</v>
      </c>
      <c r="L162" s="126">
        <v>305</v>
      </c>
      <c r="M162" s="126">
        <v>336</v>
      </c>
      <c r="N162" s="126">
        <v>324</v>
      </c>
      <c r="O162" s="126">
        <f t="shared" si="66"/>
        <v>3932</v>
      </c>
    </row>
    <row r="163" spans="2:15" x14ac:dyDescent="0.25">
      <c r="B163" s="128" t="s">
        <v>17</v>
      </c>
      <c r="C163" s="126">
        <v>961</v>
      </c>
      <c r="D163" s="126">
        <v>899</v>
      </c>
      <c r="E163" s="126">
        <v>961</v>
      </c>
      <c r="F163" s="126">
        <v>930</v>
      </c>
      <c r="G163" s="126">
        <v>961</v>
      </c>
      <c r="H163" s="126">
        <v>930</v>
      </c>
      <c r="I163" s="126">
        <v>961</v>
      </c>
      <c r="J163" s="126">
        <v>961</v>
      </c>
      <c r="K163" s="126">
        <v>930</v>
      </c>
      <c r="L163" s="126">
        <v>961</v>
      </c>
      <c r="M163" s="126">
        <v>930</v>
      </c>
      <c r="N163" s="126">
        <v>961</v>
      </c>
      <c r="O163" s="126">
        <f t="shared" si="66"/>
        <v>11346</v>
      </c>
    </row>
    <row r="164" spans="2:15" x14ac:dyDescent="0.25">
      <c r="B164" s="128" t="s">
        <v>18</v>
      </c>
      <c r="C164" s="126">
        <v>1052</v>
      </c>
      <c r="D164" s="126">
        <v>572</v>
      </c>
      <c r="E164" s="126">
        <v>990</v>
      </c>
      <c r="F164" s="126">
        <v>626</v>
      </c>
      <c r="G164" s="126">
        <v>681</v>
      </c>
      <c r="H164" s="126">
        <v>647</v>
      </c>
      <c r="I164" s="126">
        <v>620</v>
      </c>
      <c r="J164" s="126">
        <v>683</v>
      </c>
      <c r="K164" s="126">
        <v>584</v>
      </c>
      <c r="L164" s="126">
        <v>565</v>
      </c>
      <c r="M164" s="126">
        <v>663</v>
      </c>
      <c r="N164" s="126">
        <v>583</v>
      </c>
      <c r="O164" s="126">
        <f t="shared" si="66"/>
        <v>8266</v>
      </c>
    </row>
    <row r="165" spans="2:15" x14ac:dyDescent="0.25">
      <c r="B165" s="128" t="s">
        <v>19</v>
      </c>
      <c r="C165" s="126">
        <v>1072</v>
      </c>
      <c r="D165" s="126">
        <v>576</v>
      </c>
      <c r="E165" s="126">
        <v>1029</v>
      </c>
      <c r="F165" s="126">
        <v>751</v>
      </c>
      <c r="G165" s="126">
        <v>780</v>
      </c>
      <c r="H165" s="126">
        <v>685</v>
      </c>
      <c r="I165" s="126">
        <v>636</v>
      </c>
      <c r="J165" s="126">
        <v>736</v>
      </c>
      <c r="K165" s="126">
        <v>732</v>
      </c>
      <c r="L165" s="126">
        <v>577</v>
      </c>
      <c r="M165" s="126">
        <v>712</v>
      </c>
      <c r="N165" s="126">
        <v>649</v>
      </c>
      <c r="O165" s="126">
        <f t="shared" si="66"/>
        <v>8935</v>
      </c>
    </row>
    <row r="166" spans="2:15" x14ac:dyDescent="0.25">
      <c r="B166" s="128" t="s">
        <v>100</v>
      </c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</row>
    <row r="167" spans="2:15" x14ac:dyDescent="0.25">
      <c r="B167" s="128" t="s">
        <v>74</v>
      </c>
      <c r="C167" s="131">
        <f>C164/C162</f>
        <v>2.9222222222222221</v>
      </c>
      <c r="D167" s="131">
        <f t="shared" ref="D167:N167" si="67">D164/D162</f>
        <v>1.8216560509554141</v>
      </c>
      <c r="E167" s="131">
        <f t="shared" si="67"/>
        <v>2.9376854599406528</v>
      </c>
      <c r="F167" s="131">
        <f t="shared" si="67"/>
        <v>1.974763406940063</v>
      </c>
      <c r="G167" s="131">
        <f t="shared" si="67"/>
        <v>1.9739130434782608</v>
      </c>
      <c r="H167" s="131">
        <f t="shared" si="67"/>
        <v>1.9546827794561934</v>
      </c>
      <c r="I167" s="131">
        <f t="shared" si="67"/>
        <v>1.8960244648318043</v>
      </c>
      <c r="J167" s="131">
        <f t="shared" si="67"/>
        <v>2.0029325513196481</v>
      </c>
      <c r="K167" s="131">
        <f t="shared" si="67"/>
        <v>1.9796610169491526</v>
      </c>
      <c r="L167" s="131">
        <f t="shared" si="67"/>
        <v>1.8524590163934427</v>
      </c>
      <c r="M167" s="131">
        <f t="shared" si="67"/>
        <v>1.9732142857142858</v>
      </c>
      <c r="N167" s="131">
        <f t="shared" si="67"/>
        <v>1.7993827160493827</v>
      </c>
      <c r="O167" s="131">
        <f>O164/O162</f>
        <v>2.1022380467955237</v>
      </c>
    </row>
    <row r="168" spans="2:15" x14ac:dyDescent="0.25">
      <c r="B168" s="128" t="s">
        <v>59</v>
      </c>
      <c r="C168" s="129">
        <v>589</v>
      </c>
      <c r="D168" s="129">
        <v>435</v>
      </c>
      <c r="E168" s="129">
        <v>645</v>
      </c>
      <c r="F168" s="129">
        <v>742</v>
      </c>
      <c r="G168" s="129">
        <v>785</v>
      </c>
      <c r="H168" s="129">
        <v>643</v>
      </c>
      <c r="I168" s="129">
        <v>633</v>
      </c>
      <c r="J168" s="129">
        <v>686</v>
      </c>
      <c r="K168" s="129">
        <v>544</v>
      </c>
      <c r="L168" s="129">
        <v>547</v>
      </c>
      <c r="M168" s="129">
        <v>573</v>
      </c>
      <c r="N168" s="129">
        <v>554</v>
      </c>
      <c r="O168" s="129">
        <f>SUM(C168:N168)</f>
        <v>7376</v>
      </c>
    </row>
    <row r="169" spans="2:15" x14ac:dyDescent="0.25">
      <c r="B169" s="128" t="s">
        <v>75</v>
      </c>
      <c r="C169" s="131">
        <f t="shared" ref="C169:K169" si="68">C165/C162</f>
        <v>2.9777777777777779</v>
      </c>
      <c r="D169" s="131">
        <f t="shared" si="68"/>
        <v>1.8343949044585988</v>
      </c>
      <c r="E169" s="131">
        <f t="shared" si="68"/>
        <v>3.0534124629080117</v>
      </c>
      <c r="F169" s="131">
        <f t="shared" si="68"/>
        <v>2.3690851735015772</v>
      </c>
      <c r="G169" s="131">
        <f t="shared" si="68"/>
        <v>2.2608695652173911</v>
      </c>
      <c r="H169" s="131">
        <f t="shared" si="68"/>
        <v>2.0694864048338371</v>
      </c>
      <c r="I169" s="131">
        <f t="shared" si="68"/>
        <v>1.9449541284403671</v>
      </c>
      <c r="J169" s="131">
        <f t="shared" si="68"/>
        <v>2.1583577712609969</v>
      </c>
      <c r="K169" s="131">
        <f t="shared" si="68"/>
        <v>2.4813559322033898</v>
      </c>
      <c r="L169" s="131">
        <f>L165/L162</f>
        <v>1.8918032786885246</v>
      </c>
      <c r="M169" s="131">
        <f>M165/M162</f>
        <v>2.1190476190476191</v>
      </c>
      <c r="N169" s="131">
        <v>5</v>
      </c>
      <c r="O169" s="131">
        <f>O165/O162</f>
        <v>2.2723804679552391</v>
      </c>
    </row>
    <row r="170" spans="2:15" x14ac:dyDescent="0.25">
      <c r="B170" s="128" t="s">
        <v>76</v>
      </c>
      <c r="C170" s="131">
        <f t="shared" ref="C170:K170" si="69">C164/C163*100</f>
        <v>109.46930280957336</v>
      </c>
      <c r="D170" s="131">
        <f t="shared" si="69"/>
        <v>63.626251390433822</v>
      </c>
      <c r="E170" s="131">
        <f t="shared" si="69"/>
        <v>103.01768990634757</v>
      </c>
      <c r="F170" s="131">
        <f t="shared" si="69"/>
        <v>67.311827956989248</v>
      </c>
      <c r="G170" s="131">
        <f t="shared" si="69"/>
        <v>70.863683662851201</v>
      </c>
      <c r="H170" s="131">
        <f t="shared" si="69"/>
        <v>69.569892473118273</v>
      </c>
      <c r="I170" s="131">
        <f t="shared" si="69"/>
        <v>64.516129032258064</v>
      </c>
      <c r="J170" s="131">
        <f t="shared" si="69"/>
        <v>71.071800208116542</v>
      </c>
      <c r="K170" s="131">
        <f t="shared" si="69"/>
        <v>62.795698924731184</v>
      </c>
      <c r="L170" s="131">
        <f>L164/L163*100</f>
        <v>58.792924037460978</v>
      </c>
      <c r="M170" s="131">
        <f>M164/M163*100</f>
        <v>71.290322580645153</v>
      </c>
      <c r="N170" s="131">
        <f>N164/N163*100</f>
        <v>60.665972944849109</v>
      </c>
      <c r="O170" s="131">
        <f>O164/O163*100</f>
        <v>72.853869205006177</v>
      </c>
    </row>
    <row r="171" spans="2:15" x14ac:dyDescent="0.25">
      <c r="B171" s="128" t="s">
        <v>77</v>
      </c>
      <c r="C171" s="131">
        <f t="shared" ref="C171:K171" si="70">C162/C160</f>
        <v>11.612903225806452</v>
      </c>
      <c r="D171" s="131">
        <f t="shared" si="70"/>
        <v>10.129032258064516</v>
      </c>
      <c r="E171" s="131">
        <f t="shared" si="70"/>
        <v>10.870967741935484</v>
      </c>
      <c r="F171" s="131">
        <f t="shared" si="70"/>
        <v>10.225806451612904</v>
      </c>
      <c r="G171" s="131">
        <f t="shared" si="70"/>
        <v>11.129032258064516</v>
      </c>
      <c r="H171" s="131">
        <f t="shared" si="70"/>
        <v>10.67741935483871</v>
      </c>
      <c r="I171" s="131">
        <f t="shared" si="70"/>
        <v>10.548387096774194</v>
      </c>
      <c r="J171" s="131">
        <f t="shared" si="70"/>
        <v>11</v>
      </c>
      <c r="K171" s="131">
        <f t="shared" si="70"/>
        <v>9.5161290322580641</v>
      </c>
      <c r="L171" s="131">
        <f>L162/L160</f>
        <v>9.8387096774193541</v>
      </c>
      <c r="M171" s="131">
        <f>M162/M160</f>
        <v>10.838709677419354</v>
      </c>
      <c r="N171" s="131">
        <f>N162/N160</f>
        <v>10.451612903225806</v>
      </c>
      <c r="O171" s="131">
        <f>O162/O160</f>
        <v>126.83870967741936</v>
      </c>
    </row>
    <row r="172" spans="2:15" x14ac:dyDescent="0.25">
      <c r="B172" s="128" t="s">
        <v>24</v>
      </c>
      <c r="C172" s="131">
        <v>0.47</v>
      </c>
      <c r="D172" s="126">
        <v>0.71</v>
      </c>
      <c r="E172" s="131">
        <v>0.09</v>
      </c>
      <c r="F172" s="131">
        <v>0.96</v>
      </c>
      <c r="G172" s="126">
        <v>0.81</v>
      </c>
      <c r="H172" s="126">
        <v>0.85</v>
      </c>
      <c r="I172" s="126">
        <v>1.04</v>
      </c>
      <c r="J172" s="131">
        <v>0.66</v>
      </c>
      <c r="K172" s="131">
        <v>0.67</v>
      </c>
      <c r="L172" s="131">
        <v>1.3</v>
      </c>
      <c r="M172" s="126">
        <v>0.79</v>
      </c>
      <c r="N172" s="126">
        <v>2.06</v>
      </c>
      <c r="O172" s="126">
        <v>0.68</v>
      </c>
    </row>
    <row r="173" spans="2:15" x14ac:dyDescent="0.25">
      <c r="B173" s="128"/>
      <c r="C173" s="131"/>
      <c r="D173" s="126"/>
      <c r="E173" s="131"/>
      <c r="F173" s="131"/>
      <c r="G173" s="126"/>
      <c r="H173" s="126"/>
      <c r="I173" s="126"/>
      <c r="J173" s="126"/>
      <c r="K173" s="126"/>
      <c r="L173" s="126"/>
      <c r="M173" s="126"/>
      <c r="N173" s="126"/>
      <c r="O173" s="126"/>
    </row>
    <row r="174" spans="2:15" x14ac:dyDescent="0.25">
      <c r="B174" s="128" t="s">
        <v>94</v>
      </c>
      <c r="C174" s="131">
        <f>C168/C163*100</f>
        <v>61.29032258064516</v>
      </c>
      <c r="D174" s="131">
        <f t="shared" ref="D174:O174" si="71">D168/D163*100</f>
        <v>48.387096774193552</v>
      </c>
      <c r="E174" s="131">
        <f t="shared" si="71"/>
        <v>67.117585848074924</v>
      </c>
      <c r="F174" s="131">
        <f t="shared" si="71"/>
        <v>79.784946236559136</v>
      </c>
      <c r="G174" s="131">
        <f t="shared" si="71"/>
        <v>81.685744016649323</v>
      </c>
      <c r="H174" s="131">
        <f t="shared" si="71"/>
        <v>69.13978494623656</v>
      </c>
      <c r="I174" s="131">
        <f t="shared" si="71"/>
        <v>65.868886576482836</v>
      </c>
      <c r="J174" s="131">
        <f t="shared" si="71"/>
        <v>71.383975026014568</v>
      </c>
      <c r="K174" s="131">
        <f t="shared" si="71"/>
        <v>58.494623655913983</v>
      </c>
      <c r="L174" s="131">
        <f t="shared" si="71"/>
        <v>56.919875130072839</v>
      </c>
      <c r="M174" s="131">
        <f t="shared" si="71"/>
        <v>61.612903225806448</v>
      </c>
      <c r="N174" s="131">
        <f t="shared" si="71"/>
        <v>57.64828303850156</v>
      </c>
      <c r="O174" s="131">
        <f t="shared" si="71"/>
        <v>65.009695046712494</v>
      </c>
    </row>
    <row r="175" spans="2:15" x14ac:dyDescent="0.25">
      <c r="B175" s="128" t="s">
        <v>26</v>
      </c>
      <c r="C175" s="126">
        <v>0</v>
      </c>
      <c r="D175" s="126">
        <v>0</v>
      </c>
      <c r="E175" s="126">
        <v>0</v>
      </c>
      <c r="F175" s="126">
        <v>0</v>
      </c>
      <c r="G175" s="126">
        <v>0</v>
      </c>
      <c r="H175" s="126">
        <v>0</v>
      </c>
      <c r="I175" s="126">
        <v>0</v>
      </c>
      <c r="J175" s="126">
        <v>0</v>
      </c>
      <c r="K175" s="126">
        <v>0</v>
      </c>
      <c r="L175" s="126">
        <v>0</v>
      </c>
      <c r="M175" s="126">
        <v>0</v>
      </c>
      <c r="N175" s="126">
        <v>0</v>
      </c>
      <c r="O175" s="126">
        <f t="shared" si="66"/>
        <v>0</v>
      </c>
    </row>
    <row r="176" spans="2:15" x14ac:dyDescent="0.25">
      <c r="B176" s="128" t="s">
        <v>79</v>
      </c>
      <c r="C176" s="126">
        <v>0</v>
      </c>
      <c r="D176" s="126">
        <v>0</v>
      </c>
      <c r="E176" s="126">
        <v>0</v>
      </c>
      <c r="F176" s="126">
        <v>0</v>
      </c>
      <c r="G176" s="126">
        <v>0</v>
      </c>
      <c r="H176" s="126">
        <v>0</v>
      </c>
      <c r="I176" s="126">
        <v>0</v>
      </c>
      <c r="J176" s="126">
        <v>0</v>
      </c>
      <c r="K176" s="126">
        <v>0</v>
      </c>
      <c r="L176" s="126">
        <v>0</v>
      </c>
      <c r="M176" s="126">
        <v>0</v>
      </c>
      <c r="N176" s="126">
        <v>0</v>
      </c>
      <c r="O176" s="126">
        <f t="shared" si="66"/>
        <v>0</v>
      </c>
    </row>
    <row r="177" spans="2:15" x14ac:dyDescent="0.25">
      <c r="B177" s="128" t="s">
        <v>80</v>
      </c>
      <c r="C177" s="126">
        <v>0</v>
      </c>
      <c r="D177" s="126">
        <v>0</v>
      </c>
      <c r="E177" s="126">
        <v>0</v>
      </c>
      <c r="F177" s="126">
        <v>0</v>
      </c>
      <c r="G177" s="126">
        <v>0</v>
      </c>
      <c r="H177" s="126">
        <v>0</v>
      </c>
      <c r="I177" s="126">
        <v>0</v>
      </c>
      <c r="J177" s="126">
        <v>0</v>
      </c>
      <c r="K177" s="126">
        <v>0</v>
      </c>
      <c r="L177" s="126">
        <v>0</v>
      </c>
      <c r="M177" s="126">
        <v>0</v>
      </c>
      <c r="N177" s="126">
        <v>0</v>
      </c>
      <c r="O177" s="126">
        <f t="shared" si="66"/>
        <v>0</v>
      </c>
    </row>
    <row r="178" spans="2:15" x14ac:dyDescent="0.25">
      <c r="B178" s="128" t="s">
        <v>31</v>
      </c>
      <c r="C178" s="126">
        <v>0</v>
      </c>
      <c r="D178" s="126">
        <v>0</v>
      </c>
      <c r="E178" s="126">
        <v>0</v>
      </c>
      <c r="F178" s="126">
        <v>0</v>
      </c>
      <c r="G178" s="126">
        <v>3</v>
      </c>
      <c r="H178" s="126">
        <v>0</v>
      </c>
      <c r="I178" s="126">
        <v>0</v>
      </c>
      <c r="J178" s="126">
        <v>0</v>
      </c>
      <c r="K178" s="126">
        <v>2</v>
      </c>
      <c r="L178" s="126">
        <v>0</v>
      </c>
      <c r="M178" s="180">
        <v>1</v>
      </c>
      <c r="N178" s="126">
        <v>0</v>
      </c>
      <c r="O178" s="126">
        <f t="shared" si="66"/>
        <v>6</v>
      </c>
    </row>
    <row r="179" spans="2:15" x14ac:dyDescent="0.25">
      <c r="B179" s="128" t="s">
        <v>60</v>
      </c>
      <c r="C179" s="126">
        <v>255</v>
      </c>
      <c r="D179" s="126">
        <v>211</v>
      </c>
      <c r="E179" s="182">
        <v>231</v>
      </c>
      <c r="F179" s="126">
        <v>229</v>
      </c>
      <c r="G179" s="126">
        <v>238</v>
      </c>
      <c r="H179" s="126">
        <v>217</v>
      </c>
      <c r="I179" s="126">
        <v>238</v>
      </c>
      <c r="J179" s="126">
        <v>235</v>
      </c>
      <c r="K179" s="126">
        <v>207</v>
      </c>
      <c r="L179" s="126">
        <v>214</v>
      </c>
      <c r="M179" s="126">
        <v>226</v>
      </c>
      <c r="N179" s="126">
        <v>202</v>
      </c>
      <c r="O179" s="126">
        <f t="shared" si="66"/>
        <v>2703</v>
      </c>
    </row>
    <row r="180" spans="2:15" x14ac:dyDescent="0.25">
      <c r="B180" s="128" t="s">
        <v>34</v>
      </c>
      <c r="C180" s="126">
        <v>258</v>
      </c>
      <c r="D180" s="126">
        <v>213</v>
      </c>
      <c r="E180" s="182">
        <v>233</v>
      </c>
      <c r="F180" s="126">
        <v>227</v>
      </c>
      <c r="G180" s="126">
        <v>239</v>
      </c>
      <c r="H180" s="126">
        <v>219</v>
      </c>
      <c r="I180" s="126">
        <v>239</v>
      </c>
      <c r="J180" s="126">
        <v>234</v>
      </c>
      <c r="K180" s="126">
        <v>210</v>
      </c>
      <c r="L180" s="126">
        <v>214</v>
      </c>
      <c r="M180" s="126">
        <v>228</v>
      </c>
      <c r="N180" s="126">
        <v>204</v>
      </c>
      <c r="O180" s="126">
        <f t="shared" si="66"/>
        <v>2718</v>
      </c>
    </row>
    <row r="181" spans="2:15" x14ac:dyDescent="0.25">
      <c r="B181" s="128" t="s">
        <v>35</v>
      </c>
      <c r="C181" s="126">
        <v>58</v>
      </c>
      <c r="D181" s="126">
        <v>59</v>
      </c>
      <c r="E181" s="182">
        <v>47</v>
      </c>
      <c r="F181" s="126">
        <v>48</v>
      </c>
      <c r="G181" s="126">
        <v>46</v>
      </c>
      <c r="H181" s="126">
        <v>53</v>
      </c>
      <c r="I181" s="126">
        <v>59</v>
      </c>
      <c r="J181" s="126">
        <v>55</v>
      </c>
      <c r="K181" s="126">
        <v>36</v>
      </c>
      <c r="L181" s="126">
        <v>44</v>
      </c>
      <c r="M181" s="126">
        <v>53</v>
      </c>
      <c r="N181" s="126">
        <v>48</v>
      </c>
      <c r="O181" s="126">
        <f t="shared" si="66"/>
        <v>606</v>
      </c>
    </row>
    <row r="182" spans="2:15" x14ac:dyDescent="0.25">
      <c r="B182" s="128" t="s">
        <v>36</v>
      </c>
      <c r="C182" s="126">
        <v>68</v>
      </c>
      <c r="D182" s="126">
        <v>64</v>
      </c>
      <c r="E182" s="182">
        <v>82</v>
      </c>
      <c r="F182" s="126">
        <v>73</v>
      </c>
      <c r="G182" s="126">
        <v>81</v>
      </c>
      <c r="H182" s="126">
        <v>73</v>
      </c>
      <c r="I182" s="126">
        <v>81</v>
      </c>
      <c r="J182" s="126">
        <v>99</v>
      </c>
      <c r="K182" s="126">
        <v>77</v>
      </c>
      <c r="L182" s="126">
        <v>76</v>
      </c>
      <c r="M182" s="126">
        <v>96</v>
      </c>
      <c r="N182" s="126">
        <v>63</v>
      </c>
      <c r="O182" s="126">
        <f t="shared" si="66"/>
        <v>933</v>
      </c>
    </row>
    <row r="183" spans="2:15" x14ac:dyDescent="0.25">
      <c r="B183" s="128" t="s">
        <v>37</v>
      </c>
      <c r="C183" s="185">
        <v>58</v>
      </c>
      <c r="D183" s="185">
        <v>59</v>
      </c>
      <c r="E183" s="186">
        <v>47</v>
      </c>
      <c r="F183" s="126">
        <v>48</v>
      </c>
      <c r="G183" s="126">
        <v>46</v>
      </c>
      <c r="H183" s="126">
        <v>53</v>
      </c>
      <c r="I183" s="126">
        <v>59</v>
      </c>
      <c r="J183" s="126">
        <v>55</v>
      </c>
      <c r="K183" s="126">
        <v>36</v>
      </c>
      <c r="L183" s="126">
        <v>44</v>
      </c>
      <c r="M183" s="126">
        <v>53</v>
      </c>
      <c r="N183" s="126">
        <v>48</v>
      </c>
      <c r="O183" s="126">
        <f t="shared" si="66"/>
        <v>606</v>
      </c>
    </row>
    <row r="184" spans="2:15" x14ac:dyDescent="0.25">
      <c r="B184" s="128" t="s">
        <v>81</v>
      </c>
      <c r="C184" s="126">
        <v>12</v>
      </c>
      <c r="D184" s="126">
        <v>6</v>
      </c>
      <c r="E184" s="126">
        <v>6</v>
      </c>
      <c r="F184" s="126">
        <v>2</v>
      </c>
      <c r="G184" s="126">
        <v>5</v>
      </c>
      <c r="H184" s="126">
        <v>2</v>
      </c>
      <c r="I184" s="126">
        <v>3</v>
      </c>
      <c r="J184" s="126">
        <v>6</v>
      </c>
      <c r="K184" s="126">
        <v>2</v>
      </c>
      <c r="L184" s="126">
        <v>2</v>
      </c>
      <c r="M184" s="126">
        <v>5</v>
      </c>
      <c r="N184" s="126">
        <v>2</v>
      </c>
      <c r="O184" s="126">
        <f t="shared" si="66"/>
        <v>53</v>
      </c>
    </row>
    <row r="185" spans="2:15" x14ac:dyDescent="0.25">
      <c r="B185" s="128" t="s">
        <v>39</v>
      </c>
      <c r="C185" s="126">
        <v>17</v>
      </c>
      <c r="D185" s="126">
        <v>11</v>
      </c>
      <c r="E185" s="126">
        <v>10</v>
      </c>
      <c r="F185" s="126">
        <v>7</v>
      </c>
      <c r="G185" s="126">
        <v>3</v>
      </c>
      <c r="H185" s="126">
        <v>10</v>
      </c>
      <c r="I185" s="126">
        <v>4</v>
      </c>
      <c r="J185" s="126">
        <v>7</v>
      </c>
      <c r="K185" s="126">
        <v>3</v>
      </c>
      <c r="L185" s="126">
        <v>7</v>
      </c>
      <c r="M185" s="126">
        <v>6</v>
      </c>
      <c r="N185" s="126">
        <v>4</v>
      </c>
      <c r="O185" s="126">
        <f>SUM(C185:N185)</f>
        <v>89</v>
      </c>
    </row>
    <row r="186" spans="2:15" x14ac:dyDescent="0.25">
      <c r="B186" s="128" t="s">
        <v>40</v>
      </c>
      <c r="C186" s="126">
        <v>187</v>
      </c>
      <c r="D186" s="126">
        <v>147</v>
      </c>
      <c r="E186" s="126">
        <v>149</v>
      </c>
      <c r="F186" s="126">
        <v>156</v>
      </c>
      <c r="G186" s="126">
        <v>157</v>
      </c>
      <c r="H186" s="126">
        <v>144</v>
      </c>
      <c r="I186" s="126">
        <v>157</v>
      </c>
      <c r="J186" s="126">
        <v>136</v>
      </c>
      <c r="K186" s="126">
        <v>130</v>
      </c>
      <c r="L186" s="126">
        <v>138</v>
      </c>
      <c r="M186" s="126">
        <v>130</v>
      </c>
      <c r="N186" s="126">
        <v>139</v>
      </c>
      <c r="O186" s="126">
        <f>SUM(C186:N186)</f>
        <v>1770</v>
      </c>
    </row>
    <row r="187" spans="2:15" x14ac:dyDescent="0.25">
      <c r="B187" s="128" t="s">
        <v>41</v>
      </c>
      <c r="C187" s="126">
        <v>0</v>
      </c>
      <c r="D187" s="126">
        <v>0</v>
      </c>
      <c r="E187" s="126">
        <v>0</v>
      </c>
      <c r="F187" s="126">
        <v>0</v>
      </c>
      <c r="G187" s="126">
        <v>0</v>
      </c>
      <c r="H187" s="126">
        <v>0</v>
      </c>
      <c r="I187" s="126">
        <v>0</v>
      </c>
      <c r="J187" s="126">
        <v>0</v>
      </c>
      <c r="K187" s="126">
        <v>0</v>
      </c>
      <c r="L187" s="126">
        <v>0</v>
      </c>
      <c r="M187" s="126">
        <v>0</v>
      </c>
      <c r="N187" s="126">
        <v>0</v>
      </c>
      <c r="O187" s="126">
        <f>SUM(C187:N187)</f>
        <v>0</v>
      </c>
    </row>
    <row r="188" spans="2:15" x14ac:dyDescent="0.25">
      <c r="B188" s="128" t="s">
        <v>82</v>
      </c>
      <c r="C188" s="126">
        <v>0</v>
      </c>
      <c r="D188" s="126">
        <v>0</v>
      </c>
      <c r="E188" s="126">
        <v>0</v>
      </c>
      <c r="F188" s="126">
        <v>0</v>
      </c>
      <c r="G188" s="126">
        <v>0</v>
      </c>
      <c r="H188" s="126">
        <v>0</v>
      </c>
      <c r="I188" s="126">
        <v>0</v>
      </c>
      <c r="J188" s="126">
        <v>0</v>
      </c>
      <c r="K188" s="126">
        <v>0</v>
      </c>
      <c r="L188" s="126">
        <v>0</v>
      </c>
      <c r="M188" s="126">
        <v>0</v>
      </c>
      <c r="N188" s="126">
        <v>0</v>
      </c>
      <c r="O188" s="126">
        <f>SUM(C188:N188)</f>
        <v>0</v>
      </c>
    </row>
    <row r="189" spans="2:15" x14ac:dyDescent="0.25">
      <c r="B189" s="128" t="s">
        <v>42</v>
      </c>
      <c r="C189" s="126">
        <v>58</v>
      </c>
      <c r="D189" s="126">
        <v>51</v>
      </c>
      <c r="E189" s="126">
        <v>22</v>
      </c>
      <c r="F189" s="126">
        <v>14</v>
      </c>
      <c r="G189" s="126">
        <v>34</v>
      </c>
      <c r="H189" s="126">
        <v>19</v>
      </c>
      <c r="I189" s="126">
        <v>34</v>
      </c>
      <c r="J189" s="126">
        <v>25</v>
      </c>
      <c r="K189" s="126">
        <v>23</v>
      </c>
      <c r="L189" s="126">
        <v>25</v>
      </c>
      <c r="M189" s="126">
        <v>25</v>
      </c>
      <c r="N189" s="126">
        <v>17</v>
      </c>
      <c r="O189" s="126">
        <f>SUM(C189:N189)</f>
        <v>347</v>
      </c>
    </row>
    <row r="190" spans="2:15" x14ac:dyDescent="0.25">
      <c r="B190" s="128" t="s">
        <v>43</v>
      </c>
      <c r="C190" s="126">
        <v>0</v>
      </c>
      <c r="D190" s="126">
        <v>0</v>
      </c>
      <c r="E190" s="126">
        <v>1</v>
      </c>
      <c r="F190" s="126">
        <v>0</v>
      </c>
      <c r="G190" s="126"/>
      <c r="H190" s="126">
        <v>2</v>
      </c>
      <c r="I190" s="126">
        <v>0</v>
      </c>
      <c r="J190" s="126">
        <v>1</v>
      </c>
      <c r="K190" s="126">
        <v>1</v>
      </c>
      <c r="L190" s="126">
        <v>0</v>
      </c>
      <c r="M190" s="126">
        <v>1</v>
      </c>
      <c r="N190" s="126">
        <v>0</v>
      </c>
      <c r="O190" s="126">
        <f t="shared" ref="O190:O193" si="72">SUM(C190:N190)</f>
        <v>6</v>
      </c>
    </row>
    <row r="191" spans="2:15" x14ac:dyDescent="0.25">
      <c r="B191" s="128" t="s">
        <v>44</v>
      </c>
      <c r="C191" s="126">
        <v>6</v>
      </c>
      <c r="D191" s="126">
        <v>3</v>
      </c>
      <c r="E191" s="126">
        <v>4</v>
      </c>
      <c r="F191" s="126">
        <v>5</v>
      </c>
      <c r="G191" s="126"/>
      <c r="H191" s="126">
        <v>4</v>
      </c>
      <c r="I191" s="126">
        <v>4</v>
      </c>
      <c r="J191" s="126">
        <v>7</v>
      </c>
      <c r="K191" s="126">
        <v>3</v>
      </c>
      <c r="L191" s="126">
        <v>0</v>
      </c>
      <c r="M191" s="126">
        <v>4</v>
      </c>
      <c r="N191" s="126">
        <v>0</v>
      </c>
      <c r="O191" s="126">
        <f t="shared" si="72"/>
        <v>40</v>
      </c>
    </row>
    <row r="192" spans="2:15" x14ac:dyDescent="0.25">
      <c r="B192" s="128" t="s">
        <v>45</v>
      </c>
      <c r="C192" s="126">
        <v>1</v>
      </c>
      <c r="D192" s="126">
        <v>0</v>
      </c>
      <c r="E192" s="126">
        <v>0</v>
      </c>
      <c r="F192" s="126">
        <v>1</v>
      </c>
      <c r="G192" s="126"/>
      <c r="H192" s="126">
        <v>3</v>
      </c>
      <c r="I192" s="126">
        <v>0</v>
      </c>
      <c r="J192" s="126">
        <v>0</v>
      </c>
      <c r="K192" s="126">
        <v>0</v>
      </c>
      <c r="L192" s="126">
        <v>0</v>
      </c>
      <c r="M192" s="126">
        <v>0</v>
      </c>
      <c r="N192" s="126">
        <v>0</v>
      </c>
      <c r="O192" s="126">
        <f t="shared" si="72"/>
        <v>5</v>
      </c>
    </row>
    <row r="193" spans="2:15" x14ac:dyDescent="0.25">
      <c r="B193" s="128" t="s">
        <v>83</v>
      </c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>
        <f t="shared" si="72"/>
        <v>0</v>
      </c>
    </row>
    <row r="194" spans="2:15" x14ac:dyDescent="0.25">
      <c r="B194" s="137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</row>
    <row r="195" spans="2:15" ht="15.75" x14ac:dyDescent="0.25">
      <c r="B195" s="138"/>
      <c r="C195" s="167"/>
      <c r="D195" s="167"/>
      <c r="E195" s="167"/>
      <c r="F195" s="167"/>
      <c r="G195" s="167"/>
      <c r="H195" s="167"/>
      <c r="I195" s="167"/>
      <c r="J195" s="167"/>
    </row>
    <row r="196" spans="2:15" ht="15.75" x14ac:dyDescent="0.25">
      <c r="B196" s="138"/>
      <c r="C196" s="167"/>
      <c r="D196" s="166" t="s">
        <v>116</v>
      </c>
      <c r="E196" s="166"/>
      <c r="F196" s="166"/>
      <c r="G196" s="166"/>
      <c r="H196" s="166"/>
      <c r="I196" s="166"/>
      <c r="J196" s="166"/>
      <c r="K196" s="166"/>
    </row>
    <row r="197" spans="2:15" x14ac:dyDescent="0.25">
      <c r="B197" s="139" t="s">
        <v>62</v>
      </c>
      <c r="D197" s="172"/>
      <c r="M197" s="139" t="s">
        <v>101</v>
      </c>
      <c r="N197" s="138" t="s">
        <v>62</v>
      </c>
    </row>
    <row r="198" spans="2:15" x14ac:dyDescent="0.25">
      <c r="C198" s="123" t="s">
        <v>1</v>
      </c>
      <c r="D198" s="173" t="s">
        <v>2</v>
      </c>
      <c r="E198" s="123" t="s">
        <v>3</v>
      </c>
      <c r="F198" s="123" t="s">
        <v>4</v>
      </c>
      <c r="G198" s="123" t="s">
        <v>5</v>
      </c>
      <c r="H198" s="123" t="s">
        <v>6</v>
      </c>
      <c r="I198" s="123" t="s">
        <v>7</v>
      </c>
      <c r="J198" s="173" t="s">
        <v>8</v>
      </c>
      <c r="K198" s="173" t="s">
        <v>9</v>
      </c>
      <c r="L198" s="173" t="s">
        <v>10</v>
      </c>
      <c r="M198" s="173" t="s">
        <v>11</v>
      </c>
      <c r="N198" s="173" t="s">
        <v>12</v>
      </c>
      <c r="O198" s="123" t="s">
        <v>13</v>
      </c>
    </row>
    <row r="199" spans="2:15" x14ac:dyDescent="0.25">
      <c r="B199" s="128" t="s">
        <v>14</v>
      </c>
      <c r="C199" s="126">
        <v>6</v>
      </c>
      <c r="D199" s="126">
        <v>6</v>
      </c>
      <c r="E199" s="126">
        <v>6</v>
      </c>
      <c r="F199" s="126">
        <v>6</v>
      </c>
      <c r="G199" s="126">
        <v>6</v>
      </c>
      <c r="H199" s="126">
        <v>6</v>
      </c>
      <c r="I199" s="126">
        <v>6</v>
      </c>
      <c r="J199" s="126">
        <v>6</v>
      </c>
      <c r="K199" s="126">
        <v>6</v>
      </c>
      <c r="L199" s="126">
        <v>6</v>
      </c>
      <c r="M199" s="126">
        <v>6</v>
      </c>
      <c r="N199" s="126">
        <v>6</v>
      </c>
      <c r="O199" s="126">
        <v>6</v>
      </c>
    </row>
    <row r="200" spans="2:15" x14ac:dyDescent="0.25">
      <c r="B200" s="128" t="s">
        <v>15</v>
      </c>
      <c r="C200" s="126">
        <v>23</v>
      </c>
      <c r="D200" s="126">
        <v>17</v>
      </c>
      <c r="E200" s="126">
        <v>16</v>
      </c>
      <c r="F200" s="126">
        <v>23</v>
      </c>
      <c r="G200" s="126">
        <v>15</v>
      </c>
      <c r="H200" s="126">
        <v>19</v>
      </c>
      <c r="I200" s="126">
        <v>11</v>
      </c>
      <c r="J200" s="126">
        <v>14</v>
      </c>
      <c r="K200" s="126">
        <v>18</v>
      </c>
      <c r="L200" s="126">
        <v>14</v>
      </c>
      <c r="M200" s="126">
        <v>13</v>
      </c>
      <c r="N200" s="126">
        <v>18</v>
      </c>
      <c r="O200" s="126">
        <f t="shared" ref="O200:O215" si="73">SUM(C200:N200)</f>
        <v>201</v>
      </c>
    </row>
    <row r="201" spans="2:15" x14ac:dyDescent="0.25">
      <c r="B201" s="128" t="s">
        <v>16</v>
      </c>
      <c r="C201" s="126">
        <v>21</v>
      </c>
      <c r="D201" s="126">
        <v>16</v>
      </c>
      <c r="E201" s="126">
        <v>19</v>
      </c>
      <c r="F201" s="126">
        <v>22</v>
      </c>
      <c r="G201" s="126">
        <v>13</v>
      </c>
      <c r="H201" s="126">
        <v>19</v>
      </c>
      <c r="I201" s="126">
        <v>12</v>
      </c>
      <c r="J201" s="126">
        <v>13</v>
      </c>
      <c r="K201" s="126">
        <v>21</v>
      </c>
      <c r="L201" s="126">
        <v>13</v>
      </c>
      <c r="M201" s="126">
        <v>13</v>
      </c>
      <c r="N201" s="126">
        <v>15</v>
      </c>
      <c r="O201" s="126">
        <f t="shared" si="73"/>
        <v>197</v>
      </c>
    </row>
    <row r="202" spans="2:15" x14ac:dyDescent="0.25">
      <c r="B202" s="128" t="s">
        <v>17</v>
      </c>
      <c r="C202" s="126">
        <v>186</v>
      </c>
      <c r="D202" s="126">
        <v>174</v>
      </c>
      <c r="E202" s="126">
        <v>186</v>
      </c>
      <c r="F202" s="126">
        <v>180</v>
      </c>
      <c r="G202" s="126">
        <v>186</v>
      </c>
      <c r="H202" s="126">
        <v>180</v>
      </c>
      <c r="I202" s="126">
        <v>186</v>
      </c>
      <c r="J202" s="126">
        <v>186</v>
      </c>
      <c r="K202" s="126">
        <v>180</v>
      </c>
      <c r="L202" s="126">
        <v>186</v>
      </c>
      <c r="M202" s="126">
        <v>180</v>
      </c>
      <c r="N202" s="126">
        <v>186</v>
      </c>
      <c r="O202" s="126">
        <f t="shared" si="73"/>
        <v>2196</v>
      </c>
    </row>
    <row r="203" spans="2:15" x14ac:dyDescent="0.25">
      <c r="B203" s="128" t="s">
        <v>18</v>
      </c>
      <c r="C203" s="126">
        <v>63</v>
      </c>
      <c r="D203" s="126">
        <v>81</v>
      </c>
      <c r="E203" s="126">
        <v>75</v>
      </c>
      <c r="F203" s="126">
        <v>76</v>
      </c>
      <c r="G203" s="126">
        <v>71</v>
      </c>
      <c r="H203" s="126">
        <v>69</v>
      </c>
      <c r="I203" s="126">
        <v>52</v>
      </c>
      <c r="J203" s="126">
        <v>54</v>
      </c>
      <c r="K203" s="126">
        <v>78</v>
      </c>
      <c r="L203" s="126">
        <v>78</v>
      </c>
      <c r="M203" s="126">
        <v>67</v>
      </c>
      <c r="N203" s="126">
        <v>63</v>
      </c>
      <c r="O203" s="126">
        <f t="shared" si="73"/>
        <v>827</v>
      </c>
    </row>
    <row r="204" spans="2:15" x14ac:dyDescent="0.25">
      <c r="B204" s="128" t="s">
        <v>19</v>
      </c>
      <c r="C204" s="126">
        <v>83</v>
      </c>
      <c r="D204" s="126">
        <v>104</v>
      </c>
      <c r="E204" s="126">
        <v>102</v>
      </c>
      <c r="F204" s="126">
        <v>77</v>
      </c>
      <c r="G204" s="126">
        <v>84</v>
      </c>
      <c r="H204" s="126">
        <v>81</v>
      </c>
      <c r="I204" s="126">
        <v>58</v>
      </c>
      <c r="J204" s="126">
        <v>109</v>
      </c>
      <c r="K204" s="126">
        <v>106</v>
      </c>
      <c r="L204" s="126">
        <v>106</v>
      </c>
      <c r="M204" s="126">
        <v>69</v>
      </c>
      <c r="N204" s="126">
        <v>66</v>
      </c>
      <c r="O204" s="126">
        <f t="shared" si="73"/>
        <v>1045</v>
      </c>
    </row>
    <row r="205" spans="2:15" x14ac:dyDescent="0.25">
      <c r="B205" s="156" t="s">
        <v>59</v>
      </c>
      <c r="C205" s="126">
        <f>3+4+4+4+5+5+3+3+1+2+2+3+2+1+2+2+1+1+2+2+1+3+3+4+3+2+3+4+4+4+4</f>
        <v>87</v>
      </c>
      <c r="D205" s="126">
        <f>4+5+4+4+4+5+5+5+3+2+2+3+2+4+4+3+4+5+4+2+2+2+2+5+4+3+4+4+4+4</f>
        <v>108</v>
      </c>
      <c r="E205" s="126">
        <f>5+4+5+3+3+3+3+3+2+3+2+2+2+2+1+1+2+3+1+1+2+4+4+3+2+1+0+0+1+2+1</f>
        <v>71</v>
      </c>
      <c r="F205" s="126">
        <f>2+4+3+3+4+5+5+4+3+2+3+4+3+1+4+3+2+1+1+2+1+2+4+4+5+5+3+3+2+2</f>
        <v>90</v>
      </c>
      <c r="G205" s="126">
        <f>2+0+1+2+2+2+2+2+1+2+0+2+4+4+3+3+3+3+4+4+5+5+5+3+2+1+3+3+4+4+4</f>
        <v>85</v>
      </c>
      <c r="H205" s="126">
        <f>3+5+4+5+3+3+3+3+2+2+2+4+3+2+2+2+2+2+2+1+3+3+1+1+1+2+2+4+4+4</f>
        <v>80</v>
      </c>
      <c r="I205" s="126">
        <f>4+4+3+3+3+2+2+2+2+2+3+3+3+2+2+2+3+4+4+4+4+4+4+4+4+4+4+3+3+3+3</f>
        <v>97</v>
      </c>
      <c r="J205" s="126">
        <f>4+3+3+3+3+4+3+1+2+2+1+3+4+4+2+3+1+2+2+2+2+1+2+2+3+3+3+3+4+4+4</f>
        <v>83</v>
      </c>
      <c r="K205" s="126">
        <f>3+3+1+0+1+1+2+2+2+3+4+4+4+5+4+4+3+4+2+2+2+3+3+1+1+0+1+2+2+1</f>
        <v>70</v>
      </c>
      <c r="L205" s="126">
        <f>1+2+2+2+1+1+1+2+3+3+1+1+2+2+3+3+1+3+3+3+3+2+1+2+1+1+2+2+2+1+2</f>
        <v>59</v>
      </c>
      <c r="M205" s="126">
        <f>2+3+3+4+3+2+2+3+3+3+1+1+1+1+1+2+3+3+3+3+3+3+3+3+2+1+3+4+4+2</f>
        <v>75</v>
      </c>
      <c r="N205" s="126">
        <f>3+4+3+1+1+1+2+3+4+4+2+3+4+4+3+3+2+2+2+4+3+1+2+2+2+3+2+2+3+3+4</f>
        <v>82</v>
      </c>
      <c r="O205" s="126">
        <f t="shared" si="73"/>
        <v>987</v>
      </c>
    </row>
    <row r="206" spans="2:15" x14ac:dyDescent="0.25">
      <c r="B206" s="128" t="s">
        <v>74</v>
      </c>
      <c r="C206" s="131">
        <f t="shared" ref="C206:N206" si="74">C203/C201</f>
        <v>3</v>
      </c>
      <c r="D206" s="131">
        <f t="shared" si="74"/>
        <v>5.0625</v>
      </c>
      <c r="E206" s="131">
        <f t="shared" si="74"/>
        <v>3.9473684210526314</v>
      </c>
      <c r="F206" s="131">
        <f t="shared" si="74"/>
        <v>3.4545454545454546</v>
      </c>
      <c r="G206" s="131">
        <f t="shared" si="74"/>
        <v>5.4615384615384617</v>
      </c>
      <c r="H206" s="131">
        <f t="shared" si="74"/>
        <v>3.6315789473684212</v>
      </c>
      <c r="I206" s="131">
        <f t="shared" si="74"/>
        <v>4.333333333333333</v>
      </c>
      <c r="J206" s="131">
        <f t="shared" si="74"/>
        <v>4.1538461538461542</v>
      </c>
      <c r="K206" s="131">
        <f t="shared" si="74"/>
        <v>3.7142857142857144</v>
      </c>
      <c r="L206" s="131">
        <f t="shared" si="74"/>
        <v>6</v>
      </c>
      <c r="M206" s="131">
        <f t="shared" si="74"/>
        <v>5.1538461538461542</v>
      </c>
      <c r="N206" s="131">
        <f t="shared" si="74"/>
        <v>4.2</v>
      </c>
      <c r="O206" s="131">
        <f>O203/O201</f>
        <v>4.1979695431472077</v>
      </c>
    </row>
    <row r="207" spans="2:15" x14ac:dyDescent="0.25">
      <c r="B207" s="128" t="s">
        <v>75</v>
      </c>
      <c r="C207" s="131">
        <f t="shared" ref="C207:O207" si="75">C204/C201</f>
        <v>3.9523809523809526</v>
      </c>
      <c r="D207" s="131">
        <f t="shared" si="75"/>
        <v>6.5</v>
      </c>
      <c r="E207" s="131">
        <f t="shared" si="75"/>
        <v>5.3684210526315788</v>
      </c>
      <c r="F207" s="131">
        <f t="shared" si="75"/>
        <v>3.5</v>
      </c>
      <c r="G207" s="131">
        <f t="shared" si="75"/>
        <v>6.4615384615384617</v>
      </c>
      <c r="H207" s="131">
        <f t="shared" si="75"/>
        <v>4.2631578947368425</v>
      </c>
      <c r="I207" s="131">
        <f t="shared" si="75"/>
        <v>4.833333333333333</v>
      </c>
      <c r="J207" s="131">
        <f t="shared" si="75"/>
        <v>8.384615384615385</v>
      </c>
      <c r="K207" s="131">
        <f t="shared" si="75"/>
        <v>5.0476190476190474</v>
      </c>
      <c r="L207" s="131">
        <f t="shared" si="75"/>
        <v>8.1538461538461533</v>
      </c>
      <c r="M207" s="131">
        <f t="shared" si="75"/>
        <v>5.3076923076923075</v>
      </c>
      <c r="N207" s="131">
        <f t="shared" si="75"/>
        <v>4.4000000000000004</v>
      </c>
      <c r="O207" s="131">
        <f t="shared" si="75"/>
        <v>5.3045685279187813</v>
      </c>
    </row>
    <row r="208" spans="2:15" x14ac:dyDescent="0.25">
      <c r="B208" s="128" t="s">
        <v>102</v>
      </c>
      <c r="C208" s="131">
        <f t="shared" ref="C208:O208" si="76">C203/C202*100</f>
        <v>33.87096774193548</v>
      </c>
      <c r="D208" s="131">
        <f t="shared" si="76"/>
        <v>46.551724137931032</v>
      </c>
      <c r="E208" s="131">
        <f t="shared" si="76"/>
        <v>40.322580645161288</v>
      </c>
      <c r="F208" s="131">
        <f t="shared" si="76"/>
        <v>42.222222222222221</v>
      </c>
      <c r="G208" s="131">
        <f t="shared" si="76"/>
        <v>38.172043010752688</v>
      </c>
      <c r="H208" s="131">
        <f t="shared" si="76"/>
        <v>38.333333333333336</v>
      </c>
      <c r="I208" s="131">
        <f t="shared" si="76"/>
        <v>27.956989247311824</v>
      </c>
      <c r="J208" s="131">
        <f t="shared" si="76"/>
        <v>29.032258064516132</v>
      </c>
      <c r="K208" s="131">
        <f t="shared" si="76"/>
        <v>43.333333333333336</v>
      </c>
      <c r="L208" s="131">
        <f t="shared" si="76"/>
        <v>41.935483870967744</v>
      </c>
      <c r="M208" s="131">
        <f t="shared" si="76"/>
        <v>37.222222222222221</v>
      </c>
      <c r="N208" s="131">
        <f t="shared" si="76"/>
        <v>33.87096774193548</v>
      </c>
      <c r="O208" s="131">
        <f t="shared" si="76"/>
        <v>37.659380692167574</v>
      </c>
    </row>
    <row r="209" spans="2:15" x14ac:dyDescent="0.25">
      <c r="B209" s="128" t="s">
        <v>77</v>
      </c>
      <c r="C209" s="131">
        <f t="shared" ref="C209:N209" si="77">C201/C199</f>
        <v>3.5</v>
      </c>
      <c r="D209" s="131">
        <f t="shared" si="77"/>
        <v>2.6666666666666665</v>
      </c>
      <c r="E209" s="131">
        <f t="shared" si="77"/>
        <v>3.1666666666666665</v>
      </c>
      <c r="F209" s="131">
        <f t="shared" si="77"/>
        <v>3.6666666666666665</v>
      </c>
      <c r="G209" s="131">
        <f t="shared" si="77"/>
        <v>2.1666666666666665</v>
      </c>
      <c r="H209" s="131">
        <f t="shared" si="77"/>
        <v>3.1666666666666665</v>
      </c>
      <c r="I209" s="131">
        <f t="shared" si="77"/>
        <v>2</v>
      </c>
      <c r="J209" s="131">
        <f t="shared" si="77"/>
        <v>2.1666666666666665</v>
      </c>
      <c r="K209" s="131">
        <f t="shared" si="77"/>
        <v>3.5</v>
      </c>
      <c r="L209" s="131">
        <f t="shared" si="77"/>
        <v>2.1666666666666665</v>
      </c>
      <c r="M209" s="131">
        <f t="shared" si="77"/>
        <v>2.1666666666666665</v>
      </c>
      <c r="N209" s="131">
        <f t="shared" si="77"/>
        <v>2.5</v>
      </c>
      <c r="O209" s="131">
        <v>3.67</v>
      </c>
    </row>
    <row r="210" spans="2:15" x14ac:dyDescent="0.25">
      <c r="B210" s="128" t="s">
        <v>24</v>
      </c>
      <c r="C210" s="131">
        <v>5.86</v>
      </c>
      <c r="D210" s="126">
        <v>5.81</v>
      </c>
      <c r="E210" s="126">
        <v>5.84</v>
      </c>
      <c r="F210" s="126">
        <v>4.7300000000000004</v>
      </c>
      <c r="G210" s="126">
        <v>8.85</v>
      </c>
      <c r="H210" s="131">
        <v>5.84</v>
      </c>
      <c r="I210" s="126">
        <v>11.17</v>
      </c>
      <c r="J210" s="131">
        <v>5.92</v>
      </c>
      <c r="K210" s="131">
        <v>3.52</v>
      </c>
      <c r="L210" s="131">
        <v>8.31</v>
      </c>
      <c r="M210" s="131">
        <v>8.69</v>
      </c>
      <c r="N210" s="131">
        <v>4.82</v>
      </c>
      <c r="O210" s="126">
        <v>6.48</v>
      </c>
    </row>
    <row r="211" spans="2:15" x14ac:dyDescent="0.25">
      <c r="B211" s="156" t="s">
        <v>103</v>
      </c>
      <c r="C211" s="131">
        <f>C205/C202*100</f>
        <v>46.774193548387096</v>
      </c>
      <c r="D211" s="131">
        <f t="shared" ref="D211:O211" si="78">D205/D202*100</f>
        <v>62.068965517241381</v>
      </c>
      <c r="E211" s="131">
        <f t="shared" si="78"/>
        <v>38.172043010752688</v>
      </c>
      <c r="F211" s="131">
        <f t="shared" si="78"/>
        <v>50</v>
      </c>
      <c r="G211" s="131">
        <f t="shared" si="78"/>
        <v>45.698924731182792</v>
      </c>
      <c r="H211" s="131">
        <f t="shared" si="78"/>
        <v>44.444444444444443</v>
      </c>
      <c r="I211" s="131">
        <f t="shared" si="78"/>
        <v>52.1505376344086</v>
      </c>
      <c r="J211" s="131">
        <f t="shared" si="78"/>
        <v>44.623655913978496</v>
      </c>
      <c r="K211" s="131">
        <f t="shared" si="78"/>
        <v>38.888888888888893</v>
      </c>
      <c r="L211" s="131">
        <f t="shared" si="78"/>
        <v>31.72043010752688</v>
      </c>
      <c r="M211" s="131">
        <f t="shared" si="78"/>
        <v>41.666666666666671</v>
      </c>
      <c r="N211" s="131">
        <f t="shared" si="78"/>
        <v>44.086021505376344</v>
      </c>
      <c r="O211" s="131">
        <f t="shared" si="78"/>
        <v>44.94535519125683</v>
      </c>
    </row>
    <row r="212" spans="2:15" x14ac:dyDescent="0.25">
      <c r="B212" s="128" t="s">
        <v>26</v>
      </c>
      <c r="C212" s="126">
        <v>4</v>
      </c>
      <c r="D212" s="126">
        <v>4</v>
      </c>
      <c r="E212" s="126">
        <v>6</v>
      </c>
      <c r="F212" s="126">
        <v>10</v>
      </c>
      <c r="G212" s="126">
        <v>2</v>
      </c>
      <c r="H212" s="126">
        <v>6</v>
      </c>
      <c r="I212" s="126">
        <v>1</v>
      </c>
      <c r="J212" s="126">
        <v>6</v>
      </c>
      <c r="K212" s="126">
        <v>10</v>
      </c>
      <c r="L212" s="126">
        <v>4</v>
      </c>
      <c r="M212" s="126">
        <v>3</v>
      </c>
      <c r="N212" s="126">
        <v>4</v>
      </c>
      <c r="O212" s="126">
        <f t="shared" si="73"/>
        <v>60</v>
      </c>
    </row>
    <row r="213" spans="2:15" x14ac:dyDescent="0.25">
      <c r="B213" s="128" t="s">
        <v>79</v>
      </c>
      <c r="C213" s="126">
        <v>2</v>
      </c>
      <c r="D213" s="126">
        <v>3</v>
      </c>
      <c r="E213" s="126">
        <v>3</v>
      </c>
      <c r="F213" s="126">
        <v>5</v>
      </c>
      <c r="G213" s="126">
        <v>1</v>
      </c>
      <c r="H213" s="126">
        <v>5</v>
      </c>
      <c r="I213" s="126">
        <v>1</v>
      </c>
      <c r="J213" s="126">
        <v>4</v>
      </c>
      <c r="K213" s="126">
        <v>3</v>
      </c>
      <c r="L213" s="126">
        <v>2</v>
      </c>
      <c r="M213" s="126">
        <v>2</v>
      </c>
      <c r="N213" s="126">
        <v>3</v>
      </c>
      <c r="O213" s="126">
        <f t="shared" si="73"/>
        <v>34</v>
      </c>
    </row>
    <row r="214" spans="2:15" x14ac:dyDescent="0.25">
      <c r="B214" s="128" t="s">
        <v>80</v>
      </c>
      <c r="C214" s="126">
        <v>2</v>
      </c>
      <c r="D214" s="126">
        <v>1</v>
      </c>
      <c r="E214" s="126">
        <v>3</v>
      </c>
      <c r="F214" s="126">
        <v>5</v>
      </c>
      <c r="G214" s="126">
        <v>1</v>
      </c>
      <c r="H214" s="126">
        <v>1</v>
      </c>
      <c r="I214" s="126">
        <v>0</v>
      </c>
      <c r="J214" s="126">
        <v>2</v>
      </c>
      <c r="K214" s="126">
        <v>7</v>
      </c>
      <c r="L214" s="126">
        <v>2</v>
      </c>
      <c r="M214" s="126">
        <v>1</v>
      </c>
      <c r="N214" s="126">
        <v>1</v>
      </c>
      <c r="O214" s="126">
        <f t="shared" si="73"/>
        <v>26</v>
      </c>
    </row>
    <row r="215" spans="2:15" x14ac:dyDescent="0.25">
      <c r="B215" s="128" t="s">
        <v>31</v>
      </c>
      <c r="C215" s="126">
        <v>0</v>
      </c>
      <c r="D215" s="126">
        <v>0</v>
      </c>
      <c r="E215" s="126">
        <v>0</v>
      </c>
      <c r="F215" s="126">
        <v>0</v>
      </c>
      <c r="G215" s="126">
        <v>0</v>
      </c>
      <c r="H215" s="126">
        <v>0</v>
      </c>
      <c r="I215" s="126">
        <v>0</v>
      </c>
      <c r="J215" s="126">
        <v>1</v>
      </c>
      <c r="K215" s="126">
        <v>0</v>
      </c>
      <c r="L215" s="126">
        <v>0</v>
      </c>
      <c r="M215" s="126">
        <v>0</v>
      </c>
      <c r="N215" s="126">
        <v>0</v>
      </c>
      <c r="O215" s="126">
        <f t="shared" si="73"/>
        <v>1</v>
      </c>
    </row>
    <row r="216" spans="2:15" x14ac:dyDescent="0.25">
      <c r="H216" s="153"/>
    </row>
    <row r="217" spans="2:15" ht="15.75" x14ac:dyDescent="0.25">
      <c r="B217" s="138"/>
      <c r="C217" s="167"/>
      <c r="D217" s="167"/>
      <c r="E217" s="167"/>
      <c r="F217" s="167"/>
      <c r="G217" s="167"/>
      <c r="H217" s="167"/>
      <c r="I217" s="167"/>
      <c r="J217" s="167"/>
      <c r="L217" s="138"/>
    </row>
    <row r="218" spans="2:15" ht="15.75" x14ac:dyDescent="0.25">
      <c r="B218" s="138"/>
      <c r="C218" s="167"/>
      <c r="D218" s="190" t="s">
        <v>116</v>
      </c>
      <c r="E218" s="190"/>
      <c r="F218" s="190"/>
      <c r="G218" s="190"/>
      <c r="H218" s="190"/>
      <c r="I218" s="190"/>
      <c r="J218" s="190"/>
      <c r="K218" s="190"/>
    </row>
    <row r="219" spans="2:15" x14ac:dyDescent="0.25">
      <c r="B219" s="172" t="s">
        <v>67</v>
      </c>
      <c r="D219" s="172"/>
      <c r="M219" s="172" t="s">
        <v>104</v>
      </c>
      <c r="N219" s="138" t="s">
        <v>105</v>
      </c>
    </row>
    <row r="220" spans="2:15" x14ac:dyDescent="0.25">
      <c r="C220" s="123" t="s">
        <v>1</v>
      </c>
      <c r="D220" s="173" t="s">
        <v>2</v>
      </c>
      <c r="E220" s="123" t="s">
        <v>3</v>
      </c>
      <c r="F220" s="123" t="s">
        <v>4</v>
      </c>
      <c r="G220" s="123" t="s">
        <v>5</v>
      </c>
      <c r="H220" s="123" t="s">
        <v>6</v>
      </c>
      <c r="I220" s="123" t="s">
        <v>7</v>
      </c>
      <c r="J220" s="173" t="s">
        <v>8</v>
      </c>
      <c r="K220" s="173" t="s">
        <v>9</v>
      </c>
      <c r="L220" s="173" t="s">
        <v>10</v>
      </c>
      <c r="M220" s="173" t="s">
        <v>11</v>
      </c>
      <c r="N220" s="173" t="s">
        <v>12</v>
      </c>
      <c r="O220" s="123" t="s">
        <v>13</v>
      </c>
    </row>
    <row r="221" spans="2:15" x14ac:dyDescent="0.25">
      <c r="B221" s="128" t="s">
        <v>14</v>
      </c>
      <c r="C221" s="126">
        <v>4</v>
      </c>
      <c r="D221" s="126">
        <v>4</v>
      </c>
      <c r="E221" s="126">
        <v>4</v>
      </c>
      <c r="F221" s="126">
        <v>4</v>
      </c>
      <c r="G221" s="126">
        <v>4</v>
      </c>
      <c r="H221" s="126">
        <v>4</v>
      </c>
      <c r="I221" s="126">
        <v>4</v>
      </c>
      <c r="J221" s="126">
        <v>4</v>
      </c>
      <c r="K221" s="126">
        <v>4</v>
      </c>
      <c r="L221" s="126">
        <v>4</v>
      </c>
      <c r="M221" s="126">
        <v>4</v>
      </c>
      <c r="N221" s="126">
        <v>4</v>
      </c>
      <c r="O221" s="126">
        <v>4</v>
      </c>
    </row>
    <row r="222" spans="2:15" x14ac:dyDescent="0.25">
      <c r="B222" s="128" t="s">
        <v>15</v>
      </c>
      <c r="C222" s="126">
        <v>3</v>
      </c>
      <c r="D222" s="126">
        <v>8</v>
      </c>
      <c r="E222" s="126">
        <v>5</v>
      </c>
      <c r="F222" s="126">
        <v>11</v>
      </c>
      <c r="G222" s="126">
        <v>11</v>
      </c>
      <c r="H222" s="126">
        <v>9</v>
      </c>
      <c r="I222" s="126">
        <v>7</v>
      </c>
      <c r="J222" s="126">
        <v>7</v>
      </c>
      <c r="K222" s="126">
        <v>8</v>
      </c>
      <c r="L222" s="126">
        <v>4</v>
      </c>
      <c r="M222" s="126">
        <v>5</v>
      </c>
      <c r="N222" s="126">
        <v>3</v>
      </c>
      <c r="O222" s="126">
        <f t="shared" ref="O222:O227" si="79">SUM(C222:N222)</f>
        <v>81</v>
      </c>
    </row>
    <row r="223" spans="2:15" x14ac:dyDescent="0.25">
      <c r="B223" s="128" t="s">
        <v>16</v>
      </c>
      <c r="C223" s="126">
        <v>3</v>
      </c>
      <c r="D223" s="126">
        <v>3</v>
      </c>
      <c r="E223" s="126">
        <v>4</v>
      </c>
      <c r="F223" s="126">
        <v>9</v>
      </c>
      <c r="G223" s="126">
        <v>9</v>
      </c>
      <c r="H223" s="126">
        <v>12</v>
      </c>
      <c r="I223" s="126">
        <v>4</v>
      </c>
      <c r="J223" s="126">
        <v>5</v>
      </c>
      <c r="K223" s="126">
        <v>5</v>
      </c>
      <c r="L223" s="126">
        <v>4</v>
      </c>
      <c r="M223" s="126">
        <v>4</v>
      </c>
      <c r="N223" s="126">
        <v>1</v>
      </c>
      <c r="O223" s="126">
        <f t="shared" si="79"/>
        <v>63</v>
      </c>
    </row>
    <row r="224" spans="2:15" x14ac:dyDescent="0.25">
      <c r="B224" s="128" t="s">
        <v>17</v>
      </c>
      <c r="C224" s="126">
        <v>124</v>
      </c>
      <c r="D224" s="126">
        <v>116</v>
      </c>
      <c r="E224" s="126">
        <v>124</v>
      </c>
      <c r="F224" s="126">
        <v>120</v>
      </c>
      <c r="G224" s="126">
        <v>124</v>
      </c>
      <c r="H224" s="126">
        <v>120</v>
      </c>
      <c r="I224" s="126">
        <v>124</v>
      </c>
      <c r="J224" s="126">
        <v>124</v>
      </c>
      <c r="K224" s="126">
        <v>120</v>
      </c>
      <c r="L224" s="126">
        <v>124</v>
      </c>
      <c r="M224" s="126">
        <v>120</v>
      </c>
      <c r="N224" s="126">
        <v>124</v>
      </c>
      <c r="O224" s="126">
        <f t="shared" si="79"/>
        <v>1464</v>
      </c>
    </row>
    <row r="225" spans="2:15" x14ac:dyDescent="0.25">
      <c r="B225" s="128" t="s">
        <v>18</v>
      </c>
      <c r="C225" s="126">
        <v>17</v>
      </c>
      <c r="D225" s="126">
        <v>21</v>
      </c>
      <c r="E225" s="126">
        <v>20</v>
      </c>
      <c r="F225" s="126">
        <v>37</v>
      </c>
      <c r="G225" s="126">
        <v>60</v>
      </c>
      <c r="H225" s="126">
        <v>50</v>
      </c>
      <c r="I225" s="126">
        <v>19</v>
      </c>
      <c r="J225" s="126">
        <v>21</v>
      </c>
      <c r="K225" s="126">
        <v>20</v>
      </c>
      <c r="L225" s="126">
        <v>32</v>
      </c>
      <c r="M225" s="126">
        <v>43</v>
      </c>
      <c r="N225" s="126">
        <v>3</v>
      </c>
      <c r="O225" s="126">
        <f t="shared" si="79"/>
        <v>343</v>
      </c>
    </row>
    <row r="226" spans="2:15" x14ac:dyDescent="0.25">
      <c r="B226" s="128" t="s">
        <v>19</v>
      </c>
      <c r="C226" s="126">
        <v>24</v>
      </c>
      <c r="D226" s="126">
        <v>21</v>
      </c>
      <c r="E226" s="126">
        <v>44</v>
      </c>
      <c r="F226" s="126">
        <v>69</v>
      </c>
      <c r="G226" s="126">
        <v>70</v>
      </c>
      <c r="H226" s="126">
        <v>71</v>
      </c>
      <c r="I226" s="126">
        <v>28</v>
      </c>
      <c r="J226" s="126">
        <v>34</v>
      </c>
      <c r="K226" s="126">
        <v>26</v>
      </c>
      <c r="L226" s="126">
        <v>36</v>
      </c>
      <c r="M226" s="126">
        <v>55</v>
      </c>
      <c r="N226" s="126">
        <v>3</v>
      </c>
      <c r="O226" s="126">
        <f t="shared" si="79"/>
        <v>481</v>
      </c>
    </row>
    <row r="227" spans="2:15" x14ac:dyDescent="0.25">
      <c r="B227" s="128" t="s">
        <v>106</v>
      </c>
      <c r="C227" s="126">
        <f>1+1+1+1+3+3+3+3+4+3+3+3+3+3+2+3+3+3+3+3+3+3+2+2+3+3+3+3+3+3+3</f>
        <v>83</v>
      </c>
      <c r="D227" s="126">
        <f>3+3+3+3+4+4+4+4+4+4+5+5+5+5+5+4+4+4+4+6+5+4+5+5+4+4+3+3+4</f>
        <v>120</v>
      </c>
      <c r="E227" s="126">
        <f>4+4+3+3+3+3+2+2+2+1+1+1+1+1+1+1+3+2+1+1+1+1+1+1+1+1+1+1+1+2+3</f>
        <v>54</v>
      </c>
      <c r="F227" s="126">
        <f>3+3+2+2+2+1+1+1+1+1+1+0+1+1+2+1+1+2+2+2+1+2+2+2+2+1+2+4+3+4</f>
        <v>53</v>
      </c>
      <c r="G227" s="126">
        <f>5+5+5+5+5+4+3+3+3+3+3+3+3+3+3+3+4+4+5+5+4+4+4+4+4+5+5+5+6+6+6</f>
        <v>130</v>
      </c>
      <c r="H227" s="126">
        <f>6+6+5+5+5+5+5+5+5+5+5+6+5+5+5+6+5+5+4+4+6+6+4+4+4+4+4+3+3+3</f>
        <v>143</v>
      </c>
      <c r="I227" s="126">
        <f>2+3+3+3+3+3+3+3+3+3+3+3+3+3+2+2+2+3+4+4+4+4+3+3+3+4+4+5+5+4+4</f>
        <v>101</v>
      </c>
      <c r="J227" s="126">
        <f>4+2+2+2+2+3+3+3+5+4+4+4+4+4+4+4+4+4+3+3+3+3+2+2+2+3+3+33+4+4</f>
        <v>127</v>
      </c>
      <c r="K227" s="126">
        <f>4+4+3+4+4+3+3+3+4+3+2+2+2+2+3+3+2+3+4+3+3+3+3+3+3+4+3+4+4+4</f>
        <v>95</v>
      </c>
      <c r="L227" s="126">
        <f>4+4+4+4+4+4+4+4+6+4+3+4+4+3+3+3+3+3+3+3+3+33+3+4+3+2+2+1+1+1</f>
        <v>127</v>
      </c>
      <c r="M227" s="126">
        <f>2+1+2+2+2+0+0+0+0+0+0+0+0+0+2+3+3+1+3+2+1+1+1+1+1+1+1+1+1+0</f>
        <v>32</v>
      </c>
      <c r="N227" s="126">
        <f>0+0+0+0+0+0+0+0+0+0+0+0+0+0+0+1+2+2+2+1+1+1+1+1+1+1+2+2+2+2+2</f>
        <v>24</v>
      </c>
      <c r="O227" s="126">
        <f t="shared" si="79"/>
        <v>1089</v>
      </c>
    </row>
    <row r="228" spans="2:15" x14ac:dyDescent="0.25">
      <c r="B228" s="128" t="s">
        <v>74</v>
      </c>
      <c r="C228" s="131">
        <f t="shared" ref="C228:N228" si="80">C225/C223</f>
        <v>5.666666666666667</v>
      </c>
      <c r="D228" s="131">
        <f>D225/D223</f>
        <v>7</v>
      </c>
      <c r="E228" s="131">
        <f t="shared" si="80"/>
        <v>5</v>
      </c>
      <c r="F228" s="131">
        <f t="shared" si="80"/>
        <v>4.1111111111111107</v>
      </c>
      <c r="G228" s="131">
        <f t="shared" si="80"/>
        <v>6.666666666666667</v>
      </c>
      <c r="H228" s="131">
        <f t="shared" si="80"/>
        <v>4.166666666666667</v>
      </c>
      <c r="I228" s="131">
        <f t="shared" si="80"/>
        <v>4.75</v>
      </c>
      <c r="J228" s="131">
        <f t="shared" si="80"/>
        <v>4.2</v>
      </c>
      <c r="K228" s="131">
        <f t="shared" si="80"/>
        <v>4</v>
      </c>
      <c r="L228" s="131">
        <f t="shared" si="80"/>
        <v>8</v>
      </c>
      <c r="M228" s="131">
        <f t="shared" si="80"/>
        <v>10.75</v>
      </c>
      <c r="N228" s="131">
        <f t="shared" si="80"/>
        <v>3</v>
      </c>
      <c r="O228" s="131">
        <f>O225/O223</f>
        <v>5.4444444444444446</v>
      </c>
    </row>
    <row r="229" spans="2:15" x14ac:dyDescent="0.25">
      <c r="B229" s="128" t="s">
        <v>75</v>
      </c>
      <c r="C229" s="131">
        <f t="shared" ref="C229:O229" si="81">C226/C223</f>
        <v>8</v>
      </c>
      <c r="D229" s="131">
        <f>D226/D223</f>
        <v>7</v>
      </c>
      <c r="E229" s="131">
        <f t="shared" si="81"/>
        <v>11</v>
      </c>
      <c r="F229" s="131">
        <f t="shared" si="81"/>
        <v>7.666666666666667</v>
      </c>
      <c r="G229" s="131">
        <f t="shared" si="81"/>
        <v>7.7777777777777777</v>
      </c>
      <c r="H229" s="131">
        <f t="shared" si="81"/>
        <v>5.916666666666667</v>
      </c>
      <c r="I229" s="131">
        <f t="shared" si="81"/>
        <v>7</v>
      </c>
      <c r="J229" s="131">
        <f t="shared" si="81"/>
        <v>6.8</v>
      </c>
      <c r="K229" s="131">
        <f t="shared" si="81"/>
        <v>5.2</v>
      </c>
      <c r="L229" s="131">
        <f t="shared" si="81"/>
        <v>9</v>
      </c>
      <c r="M229" s="131">
        <f t="shared" si="81"/>
        <v>13.75</v>
      </c>
      <c r="N229" s="131">
        <f t="shared" si="81"/>
        <v>3</v>
      </c>
      <c r="O229" s="131">
        <f t="shared" si="81"/>
        <v>7.6349206349206353</v>
      </c>
    </row>
    <row r="230" spans="2:15" x14ac:dyDescent="0.25">
      <c r="B230" s="128" t="s">
        <v>102</v>
      </c>
      <c r="C230" s="131">
        <f t="shared" ref="C230:O230" si="82">C225/C224*100</f>
        <v>13.709677419354838</v>
      </c>
      <c r="D230" s="131">
        <f>D225/D224*100</f>
        <v>18.103448275862068</v>
      </c>
      <c r="E230" s="131">
        <f t="shared" si="82"/>
        <v>16.129032258064516</v>
      </c>
      <c r="F230" s="131">
        <f t="shared" si="82"/>
        <v>30.833333333333336</v>
      </c>
      <c r="G230" s="131">
        <f t="shared" si="82"/>
        <v>48.387096774193552</v>
      </c>
      <c r="H230" s="131">
        <f t="shared" si="82"/>
        <v>41.666666666666671</v>
      </c>
      <c r="I230" s="131">
        <f t="shared" si="82"/>
        <v>15.32258064516129</v>
      </c>
      <c r="J230" s="131">
        <f t="shared" si="82"/>
        <v>16.93548387096774</v>
      </c>
      <c r="K230" s="131">
        <f t="shared" si="82"/>
        <v>16.666666666666664</v>
      </c>
      <c r="L230" s="131">
        <f t="shared" si="82"/>
        <v>25.806451612903224</v>
      </c>
      <c r="M230" s="131">
        <f t="shared" si="82"/>
        <v>35.833333333333336</v>
      </c>
      <c r="N230" s="131">
        <f t="shared" si="82"/>
        <v>2.4193548387096775</v>
      </c>
      <c r="O230" s="131">
        <f t="shared" si="82"/>
        <v>23.428961748633881</v>
      </c>
    </row>
    <row r="231" spans="2:15" x14ac:dyDescent="0.25">
      <c r="B231" s="128" t="s">
        <v>77</v>
      </c>
      <c r="C231" s="131">
        <f t="shared" ref="C231:O231" si="83">C223/C221</f>
        <v>0.75</v>
      </c>
      <c r="D231" s="131">
        <f t="shared" si="83"/>
        <v>0.75</v>
      </c>
      <c r="E231" s="131">
        <f t="shared" si="83"/>
        <v>1</v>
      </c>
      <c r="F231" s="131">
        <f t="shared" si="83"/>
        <v>2.25</v>
      </c>
      <c r="G231" s="131">
        <f t="shared" si="83"/>
        <v>2.25</v>
      </c>
      <c r="H231" s="131">
        <f t="shared" si="83"/>
        <v>3</v>
      </c>
      <c r="I231" s="131">
        <f t="shared" si="83"/>
        <v>1</v>
      </c>
      <c r="J231" s="131">
        <f t="shared" si="83"/>
        <v>1.25</v>
      </c>
      <c r="K231" s="131">
        <f t="shared" si="83"/>
        <v>1.25</v>
      </c>
      <c r="L231" s="131">
        <f t="shared" si="83"/>
        <v>1</v>
      </c>
      <c r="M231" s="131">
        <f t="shared" si="83"/>
        <v>1</v>
      </c>
      <c r="N231" s="131">
        <f t="shared" si="83"/>
        <v>0.25</v>
      </c>
      <c r="O231" s="131">
        <f t="shared" si="83"/>
        <v>15.75</v>
      </c>
    </row>
    <row r="232" spans="2:15" x14ac:dyDescent="0.25">
      <c r="B232" s="128" t="s">
        <v>24</v>
      </c>
      <c r="C232" s="131">
        <v>35.67</v>
      </c>
      <c r="D232" s="131">
        <v>31.67</v>
      </c>
      <c r="E232" s="188">
        <v>26</v>
      </c>
      <c r="F232" s="131">
        <v>9.2200000000000006</v>
      </c>
      <c r="G232" s="131">
        <v>7.11</v>
      </c>
      <c r="H232" s="131">
        <v>5.83</v>
      </c>
      <c r="I232" s="126">
        <v>26.25</v>
      </c>
      <c r="J232" s="131">
        <v>18</v>
      </c>
      <c r="K232" s="131">
        <v>18.8</v>
      </c>
      <c r="L232" s="131">
        <v>16.25</v>
      </c>
      <c r="M232" s="131">
        <v>19.25</v>
      </c>
      <c r="N232" s="131">
        <v>8.6300000000000008</v>
      </c>
      <c r="O232" s="126">
        <v>7.94</v>
      </c>
    </row>
    <row r="233" spans="2:15" x14ac:dyDescent="0.25">
      <c r="B233" s="128" t="s">
        <v>103</v>
      </c>
      <c r="C233" s="131">
        <f>C227/C224*100</f>
        <v>66.935483870967744</v>
      </c>
      <c r="D233" s="131">
        <f t="shared" ref="D233:O233" si="84">D227/D224*100</f>
        <v>103.44827586206897</v>
      </c>
      <c r="E233" s="131">
        <f t="shared" si="84"/>
        <v>43.548387096774192</v>
      </c>
      <c r="F233" s="131">
        <f t="shared" si="84"/>
        <v>44.166666666666664</v>
      </c>
      <c r="G233" s="131">
        <f t="shared" si="84"/>
        <v>104.83870967741935</v>
      </c>
      <c r="H233" s="131">
        <f t="shared" si="84"/>
        <v>119.16666666666667</v>
      </c>
      <c r="I233" s="131">
        <f t="shared" si="84"/>
        <v>81.451612903225808</v>
      </c>
      <c r="J233" s="131">
        <f t="shared" si="84"/>
        <v>102.41935483870968</v>
      </c>
      <c r="K233" s="131">
        <f t="shared" si="84"/>
        <v>79.166666666666657</v>
      </c>
      <c r="L233" s="131">
        <f t="shared" si="84"/>
        <v>102.41935483870968</v>
      </c>
      <c r="M233" s="131">
        <f t="shared" si="84"/>
        <v>26.666666666666668</v>
      </c>
      <c r="N233" s="131">
        <f t="shared" si="84"/>
        <v>19.35483870967742</v>
      </c>
      <c r="O233" s="131">
        <f t="shared" si="84"/>
        <v>74.385245901639337</v>
      </c>
    </row>
    <row r="234" spans="2:15" x14ac:dyDescent="0.25">
      <c r="B234" s="128" t="s">
        <v>26</v>
      </c>
      <c r="C234" s="126">
        <f>SUM(C235:C236)</f>
        <v>1</v>
      </c>
      <c r="D234" s="126">
        <f t="shared" ref="D234:N234" si="85">SUM(D235:D236)</f>
        <v>2</v>
      </c>
      <c r="E234" s="126">
        <f t="shared" si="85"/>
        <v>1</v>
      </c>
      <c r="F234" s="126">
        <f t="shared" si="85"/>
        <v>2</v>
      </c>
      <c r="G234" s="126">
        <f t="shared" si="85"/>
        <v>0</v>
      </c>
      <c r="H234" s="126">
        <f t="shared" si="85"/>
        <v>4</v>
      </c>
      <c r="I234" s="126">
        <f t="shared" si="85"/>
        <v>2</v>
      </c>
      <c r="J234" s="126">
        <f t="shared" si="85"/>
        <v>2</v>
      </c>
      <c r="K234" s="126">
        <f t="shared" si="85"/>
        <v>3</v>
      </c>
      <c r="L234" s="126">
        <f t="shared" si="85"/>
        <v>1</v>
      </c>
      <c r="M234" s="126">
        <v>1</v>
      </c>
      <c r="N234" s="126">
        <f t="shared" si="85"/>
        <v>0</v>
      </c>
      <c r="O234" s="126">
        <f>SUM(C234:N234)</f>
        <v>19</v>
      </c>
    </row>
    <row r="235" spans="2:15" x14ac:dyDescent="0.25">
      <c r="B235" s="128" t="s">
        <v>79</v>
      </c>
      <c r="C235" s="126">
        <v>0</v>
      </c>
      <c r="D235" s="126">
        <v>2</v>
      </c>
      <c r="E235" s="126">
        <v>0</v>
      </c>
      <c r="F235" s="126">
        <v>0</v>
      </c>
      <c r="G235" s="126">
        <v>0</v>
      </c>
      <c r="H235" s="126">
        <v>2</v>
      </c>
      <c r="I235" s="126">
        <v>2</v>
      </c>
      <c r="J235" s="126">
        <v>2</v>
      </c>
      <c r="K235" s="126">
        <v>3</v>
      </c>
      <c r="L235" s="126">
        <v>1</v>
      </c>
      <c r="M235" s="126">
        <v>1</v>
      </c>
      <c r="N235" s="126">
        <v>0</v>
      </c>
      <c r="O235" s="126">
        <f>SUM(C235:N235)</f>
        <v>13</v>
      </c>
    </row>
    <row r="236" spans="2:15" x14ac:dyDescent="0.25">
      <c r="B236" s="128" t="s">
        <v>80</v>
      </c>
      <c r="C236" s="126">
        <v>1</v>
      </c>
      <c r="D236" s="126">
        <v>0</v>
      </c>
      <c r="E236" s="126">
        <v>1</v>
      </c>
      <c r="F236" s="126">
        <v>2</v>
      </c>
      <c r="G236" s="126">
        <v>0</v>
      </c>
      <c r="H236" s="126">
        <v>2</v>
      </c>
      <c r="I236" s="126">
        <v>0</v>
      </c>
      <c r="J236" s="126">
        <v>0</v>
      </c>
      <c r="K236" s="126">
        <v>0</v>
      </c>
      <c r="L236" s="126">
        <v>0</v>
      </c>
      <c r="M236" s="126">
        <v>0</v>
      </c>
      <c r="N236" s="126">
        <v>0</v>
      </c>
      <c r="O236" s="126">
        <f>SUM(C236:N236)</f>
        <v>6</v>
      </c>
    </row>
    <row r="237" spans="2:15" x14ac:dyDescent="0.25">
      <c r="B237" s="128" t="s">
        <v>31</v>
      </c>
      <c r="C237" s="126">
        <v>0</v>
      </c>
      <c r="D237" s="126">
        <v>0</v>
      </c>
      <c r="E237" s="126">
        <v>0</v>
      </c>
      <c r="F237" s="126">
        <v>0</v>
      </c>
      <c r="G237" s="126">
        <v>0</v>
      </c>
      <c r="H237" s="126">
        <v>0</v>
      </c>
      <c r="I237" s="126">
        <v>0</v>
      </c>
      <c r="J237" s="126">
        <v>0</v>
      </c>
      <c r="K237" s="126">
        <v>1</v>
      </c>
      <c r="L237" s="126">
        <v>0</v>
      </c>
      <c r="M237" s="126">
        <v>0</v>
      </c>
      <c r="N237" s="126">
        <v>0</v>
      </c>
      <c r="O237" s="126">
        <f>SUM(C237:N237)</f>
        <v>1</v>
      </c>
    </row>
    <row r="239" spans="2:15" ht="15.75" x14ac:dyDescent="0.25">
      <c r="B239" s="138"/>
      <c r="C239" s="167"/>
      <c r="D239" s="167"/>
      <c r="E239" s="167"/>
      <c r="F239" s="167"/>
      <c r="G239" s="167"/>
      <c r="H239" s="167"/>
      <c r="I239" s="167"/>
      <c r="J239" s="167"/>
    </row>
    <row r="240" spans="2:15" ht="15.75" x14ac:dyDescent="0.25">
      <c r="B240" s="138"/>
      <c r="C240" s="190" t="s">
        <v>116</v>
      </c>
      <c r="D240" s="190"/>
      <c r="E240" s="190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</row>
    <row r="241" spans="2:15" x14ac:dyDescent="0.25">
      <c r="B241" s="172" t="s">
        <v>107</v>
      </c>
      <c r="D241" s="172"/>
      <c r="M241" s="172"/>
      <c r="N241" s="138"/>
    </row>
    <row r="242" spans="2:15" x14ac:dyDescent="0.25">
      <c r="C242" s="123" t="s">
        <v>1</v>
      </c>
      <c r="D242" s="173" t="s">
        <v>2</v>
      </c>
      <c r="E242" s="123" t="s">
        <v>3</v>
      </c>
      <c r="F242" s="123" t="s">
        <v>4</v>
      </c>
      <c r="G242" s="123" t="s">
        <v>5</v>
      </c>
      <c r="H242" s="123" t="s">
        <v>6</v>
      </c>
      <c r="I242" s="123" t="s">
        <v>7</v>
      </c>
      <c r="J242" s="173" t="s">
        <v>8</v>
      </c>
      <c r="K242" s="173" t="s">
        <v>9</v>
      </c>
      <c r="L242" s="173" t="s">
        <v>10</v>
      </c>
      <c r="M242" s="173" t="s">
        <v>11</v>
      </c>
      <c r="N242" s="173" t="s">
        <v>12</v>
      </c>
      <c r="O242" s="123" t="s">
        <v>13</v>
      </c>
    </row>
    <row r="243" spans="2:15" x14ac:dyDescent="0.25">
      <c r="B243" s="128" t="s">
        <v>14</v>
      </c>
      <c r="C243" s="126">
        <v>9</v>
      </c>
      <c r="D243" s="126">
        <v>9</v>
      </c>
      <c r="E243" s="126">
        <v>9</v>
      </c>
      <c r="F243" s="126">
        <v>9</v>
      </c>
      <c r="G243" s="126">
        <v>9</v>
      </c>
      <c r="H243" s="126">
        <v>9</v>
      </c>
      <c r="I243" s="126">
        <v>9</v>
      </c>
      <c r="J243" s="126">
        <v>9</v>
      </c>
      <c r="K243" s="126">
        <v>9</v>
      </c>
      <c r="L243" s="126">
        <v>9</v>
      </c>
      <c r="M243" s="126">
        <v>9</v>
      </c>
      <c r="N243" s="126">
        <v>9</v>
      </c>
      <c r="O243" s="126">
        <v>9</v>
      </c>
    </row>
    <row r="244" spans="2:15" x14ac:dyDescent="0.25">
      <c r="B244" s="128" t="s">
        <v>15</v>
      </c>
      <c r="C244" s="126">
        <v>23</v>
      </c>
      <c r="D244" s="126">
        <v>18</v>
      </c>
      <c r="E244" s="126">
        <v>21</v>
      </c>
      <c r="F244" s="126">
        <v>20</v>
      </c>
      <c r="G244" s="126">
        <v>28</v>
      </c>
      <c r="H244" s="126">
        <v>27</v>
      </c>
      <c r="I244" s="126">
        <v>27</v>
      </c>
      <c r="J244" s="126">
        <v>36</v>
      </c>
      <c r="K244" s="126">
        <v>33</v>
      </c>
      <c r="L244" s="126">
        <v>27</v>
      </c>
      <c r="M244" s="126">
        <v>40</v>
      </c>
      <c r="N244" s="126">
        <v>29</v>
      </c>
      <c r="O244" s="126">
        <f t="shared" ref="O244:O249" si="86">SUM(C244:N244)</f>
        <v>329</v>
      </c>
    </row>
    <row r="245" spans="2:15" x14ac:dyDescent="0.25">
      <c r="B245" s="128" t="s">
        <v>16</v>
      </c>
      <c r="C245" s="126">
        <v>31</v>
      </c>
      <c r="D245" s="126">
        <v>18</v>
      </c>
      <c r="E245" s="126">
        <v>22</v>
      </c>
      <c r="F245" s="126">
        <v>18</v>
      </c>
      <c r="G245" s="126">
        <v>26</v>
      </c>
      <c r="H245" s="126">
        <v>30</v>
      </c>
      <c r="I245" s="126">
        <v>31</v>
      </c>
      <c r="J245" s="126">
        <v>30</v>
      </c>
      <c r="K245" s="126">
        <v>25</v>
      </c>
      <c r="L245" s="126">
        <v>35</v>
      </c>
      <c r="M245" s="126">
        <v>33</v>
      </c>
      <c r="N245" s="126">
        <v>29</v>
      </c>
      <c r="O245" s="126">
        <f t="shared" si="86"/>
        <v>328</v>
      </c>
    </row>
    <row r="246" spans="2:15" x14ac:dyDescent="0.25">
      <c r="B246" s="128" t="s">
        <v>17</v>
      </c>
      <c r="C246" s="126">
        <v>279</v>
      </c>
      <c r="D246" s="126">
        <v>261</v>
      </c>
      <c r="E246" s="126">
        <v>279</v>
      </c>
      <c r="F246" s="126">
        <v>270</v>
      </c>
      <c r="G246" s="126">
        <v>279</v>
      </c>
      <c r="H246" s="126">
        <v>270</v>
      </c>
      <c r="I246" s="126">
        <v>279</v>
      </c>
      <c r="J246" s="126">
        <v>341</v>
      </c>
      <c r="K246" s="126">
        <v>330</v>
      </c>
      <c r="L246" s="126">
        <v>341</v>
      </c>
      <c r="M246" s="126">
        <v>330</v>
      </c>
      <c r="N246" s="126">
        <v>341</v>
      </c>
      <c r="O246" s="126">
        <f t="shared" si="86"/>
        <v>3600</v>
      </c>
    </row>
    <row r="247" spans="2:15" x14ac:dyDescent="0.25">
      <c r="B247" s="128" t="s">
        <v>18</v>
      </c>
      <c r="C247" s="126">
        <v>135</v>
      </c>
      <c r="D247" s="126">
        <v>110</v>
      </c>
      <c r="E247" s="126">
        <v>115</v>
      </c>
      <c r="F247" s="126">
        <v>90</v>
      </c>
      <c r="G247" s="126">
        <v>148</v>
      </c>
      <c r="H247" s="126">
        <v>86</v>
      </c>
      <c r="I247" s="126">
        <v>129</v>
      </c>
      <c r="J247" s="126">
        <v>126</v>
      </c>
      <c r="K247" s="126">
        <v>107</v>
      </c>
      <c r="L247" s="126">
        <v>120</v>
      </c>
      <c r="M247" s="126">
        <v>161</v>
      </c>
      <c r="N247" s="126">
        <v>93</v>
      </c>
      <c r="O247" s="126">
        <f t="shared" si="86"/>
        <v>1420</v>
      </c>
    </row>
    <row r="248" spans="2:15" x14ac:dyDescent="0.25">
      <c r="B248" s="128" t="s">
        <v>19</v>
      </c>
      <c r="C248" s="126">
        <v>214</v>
      </c>
      <c r="D248" s="126">
        <v>178</v>
      </c>
      <c r="E248" s="126">
        <v>122</v>
      </c>
      <c r="F248" s="126">
        <v>101</v>
      </c>
      <c r="G248" s="126">
        <v>160</v>
      </c>
      <c r="H248" s="126">
        <v>130</v>
      </c>
      <c r="I248" s="126">
        <v>187</v>
      </c>
      <c r="J248" s="126">
        <v>200</v>
      </c>
      <c r="K248" s="126">
        <v>160</v>
      </c>
      <c r="L248" s="126">
        <v>223</v>
      </c>
      <c r="M248" s="126">
        <v>162</v>
      </c>
      <c r="N248" s="126">
        <v>128</v>
      </c>
      <c r="O248" s="126">
        <f t="shared" si="86"/>
        <v>1965</v>
      </c>
    </row>
    <row r="249" spans="2:15" x14ac:dyDescent="0.25">
      <c r="B249" s="128" t="s">
        <v>91</v>
      </c>
      <c r="C249" s="126">
        <f>5+4+6+4+3+5+4+4+6+6+7+4+5+6+3+4+3+3+5+5+6+4+5+4+5+5+5+3+3+3+4</f>
        <v>139</v>
      </c>
      <c r="D249" s="126">
        <f>6+7+7+6+6+5+4+3+2+2+2+1+1+2+3+4+5+3+3+4+4+5+4+4+4+4+3+4+4</f>
        <v>112</v>
      </c>
      <c r="E249" s="126">
        <f>6+5+3+2+2+3+4+5+5+5+6+7+6+5+6+8+8+5+4+4+2+3+2+1+2+4+4+4+4+4+3</f>
        <v>132</v>
      </c>
      <c r="F249" s="126">
        <f>4+5+6+5+4+3+2+2+2+2+2+4+5+4+3+3+2+2+3+3+4+5+6+6+7+4+3+3+4+6</f>
        <v>114</v>
      </c>
      <c r="G249" s="126">
        <f>6+3+4+4+5+6+8+7+6+8+10+5+3+4+4+5+3+4+3+4+5+6+7+6+6+4+5+5+4+6+6</f>
        <v>162</v>
      </c>
      <c r="H249" s="126">
        <f>4+1+1+4+4+1+2+2+1+0+2+1+2+1+5+5+4+4+5+4+3+3+4+2+2+2+5+4+3+3</f>
        <v>84</v>
      </c>
      <c r="I249" s="126">
        <f>9+1+2+2+0+0+1+1+2+3+2+2+4+5+4+3+4+5+7+6+3+4+5+4+3+3+4+1+0+1+1</f>
        <v>92</v>
      </c>
      <c r="J249" s="126">
        <f>2+4+4+4+3+3+3+5+4+5+5+4+4+4+4+3+2+2+5+5+4+3+5+5+1+2+2+4+4+4+4</f>
        <v>113</v>
      </c>
      <c r="K249" s="126">
        <f>4+6+4+4+4+5+5+3+1+2+3+4+4+6+2+2+1+1+4+6+3+2+3+5+5+0+1+2+3+3</f>
        <v>98</v>
      </c>
      <c r="L249" s="126">
        <f>2+3+1+1+0+0+1+0+1+2+3+5+7+8+9+10+10+10+7+3+4+3+1+2+2+5+2+2+1+1+1</f>
        <v>107</v>
      </c>
      <c r="M249" s="126">
        <f>3+7+6+7+5+5+4+4+7+2+2+3+4+3+6+7+7+5+4+4+6+8+10+5+5+5+5+4+1+2</f>
        <v>146</v>
      </c>
      <c r="N249" s="126">
        <f>2+2+2+4+3+4+6+1+1+3+3+3+4+4+4+2+1+1+3+3+3+2+2+4+4+3+2+2+1+1+0</f>
        <v>80</v>
      </c>
      <c r="O249" s="126">
        <f t="shared" si="86"/>
        <v>1379</v>
      </c>
    </row>
    <row r="250" spans="2:15" x14ac:dyDescent="0.25">
      <c r="B250" s="128" t="s">
        <v>74</v>
      </c>
      <c r="C250" s="131">
        <f>C247/C245</f>
        <v>4.354838709677419</v>
      </c>
      <c r="D250" s="131">
        <f>D247/D245</f>
        <v>6.1111111111111107</v>
      </c>
      <c r="E250" s="131">
        <f t="shared" ref="E250:N250" si="87">E247/E245</f>
        <v>5.2272727272727275</v>
      </c>
      <c r="F250" s="131">
        <f t="shared" si="87"/>
        <v>5</v>
      </c>
      <c r="G250" s="131">
        <f t="shared" si="87"/>
        <v>5.6923076923076925</v>
      </c>
      <c r="H250" s="131">
        <f t="shared" si="87"/>
        <v>2.8666666666666667</v>
      </c>
      <c r="I250" s="131">
        <f t="shared" si="87"/>
        <v>4.161290322580645</v>
      </c>
      <c r="J250" s="131">
        <f t="shared" si="87"/>
        <v>4.2</v>
      </c>
      <c r="K250" s="131">
        <f t="shared" si="87"/>
        <v>4.28</v>
      </c>
      <c r="L250" s="131">
        <f t="shared" si="87"/>
        <v>3.4285714285714284</v>
      </c>
      <c r="M250" s="131">
        <f t="shared" si="87"/>
        <v>4.8787878787878789</v>
      </c>
      <c r="N250" s="131">
        <f t="shared" si="87"/>
        <v>3.2068965517241379</v>
      </c>
      <c r="O250" s="131">
        <f>O247/O245</f>
        <v>4.3292682926829267</v>
      </c>
    </row>
    <row r="251" spans="2:15" x14ac:dyDescent="0.25">
      <c r="B251" s="128" t="s">
        <v>75</v>
      </c>
      <c r="C251" s="131">
        <f>C248/C245</f>
        <v>6.903225806451613</v>
      </c>
      <c r="D251" s="131">
        <f>D248/D245</f>
        <v>9.8888888888888893</v>
      </c>
      <c r="E251" s="131">
        <f t="shared" ref="E251:O251" si="88">E248/E245</f>
        <v>5.5454545454545459</v>
      </c>
      <c r="F251" s="131">
        <f t="shared" si="88"/>
        <v>5.6111111111111107</v>
      </c>
      <c r="G251" s="131">
        <f t="shared" si="88"/>
        <v>6.1538461538461542</v>
      </c>
      <c r="H251" s="131">
        <f t="shared" si="88"/>
        <v>4.333333333333333</v>
      </c>
      <c r="I251" s="131">
        <f t="shared" si="88"/>
        <v>6.032258064516129</v>
      </c>
      <c r="J251" s="131">
        <f t="shared" si="88"/>
        <v>6.666666666666667</v>
      </c>
      <c r="K251" s="131">
        <f t="shared" si="88"/>
        <v>6.4</v>
      </c>
      <c r="L251" s="131">
        <f t="shared" si="88"/>
        <v>6.371428571428571</v>
      </c>
      <c r="M251" s="131">
        <f t="shared" si="88"/>
        <v>4.9090909090909092</v>
      </c>
      <c r="N251" s="131">
        <f t="shared" si="88"/>
        <v>4.4137931034482758</v>
      </c>
      <c r="O251" s="131">
        <f t="shared" si="88"/>
        <v>5.9908536585365857</v>
      </c>
    </row>
    <row r="252" spans="2:15" x14ac:dyDescent="0.25">
      <c r="B252" s="128" t="s">
        <v>102</v>
      </c>
      <c r="C252" s="131">
        <f>C247/C246*100</f>
        <v>48.387096774193552</v>
      </c>
      <c r="D252" s="131">
        <f t="shared" ref="D252:O252" si="89">D247/D246*100</f>
        <v>42.145593869731798</v>
      </c>
      <c r="E252" s="131">
        <f t="shared" si="89"/>
        <v>41.218637992831539</v>
      </c>
      <c r="F252" s="131">
        <f t="shared" si="89"/>
        <v>33.333333333333329</v>
      </c>
      <c r="G252" s="131">
        <f t="shared" si="89"/>
        <v>53.046594982078851</v>
      </c>
      <c r="H252" s="131">
        <f t="shared" si="89"/>
        <v>31.851851851851855</v>
      </c>
      <c r="I252" s="131">
        <f t="shared" si="89"/>
        <v>46.236559139784944</v>
      </c>
      <c r="J252" s="131">
        <f t="shared" si="89"/>
        <v>36.950146627565985</v>
      </c>
      <c r="K252" s="131">
        <f t="shared" si="89"/>
        <v>32.424242424242422</v>
      </c>
      <c r="L252" s="131">
        <f t="shared" si="89"/>
        <v>35.19061583577713</v>
      </c>
      <c r="M252" s="131">
        <f t="shared" si="89"/>
        <v>48.787878787878789</v>
      </c>
      <c r="N252" s="131">
        <f t="shared" si="89"/>
        <v>27.27272727272727</v>
      </c>
      <c r="O252" s="131">
        <f t="shared" si="89"/>
        <v>39.444444444444443</v>
      </c>
    </row>
    <row r="253" spans="2:15" x14ac:dyDescent="0.25">
      <c r="B253" s="128" t="s">
        <v>77</v>
      </c>
      <c r="C253" s="131">
        <f t="shared" ref="C253:O253" si="90">C245/C243</f>
        <v>3.4444444444444446</v>
      </c>
      <c r="D253" s="131">
        <f t="shared" si="90"/>
        <v>2</v>
      </c>
      <c r="E253" s="131">
        <f t="shared" si="90"/>
        <v>2.4444444444444446</v>
      </c>
      <c r="F253" s="131">
        <f t="shared" si="90"/>
        <v>2</v>
      </c>
      <c r="G253" s="131">
        <f t="shared" si="90"/>
        <v>2.8888888888888888</v>
      </c>
      <c r="H253" s="131">
        <f t="shared" si="90"/>
        <v>3.3333333333333335</v>
      </c>
      <c r="I253" s="131">
        <f t="shared" si="90"/>
        <v>3.4444444444444446</v>
      </c>
      <c r="J253" s="131">
        <f t="shared" si="90"/>
        <v>3.3333333333333335</v>
      </c>
      <c r="K253" s="131">
        <f t="shared" si="90"/>
        <v>2.7777777777777777</v>
      </c>
      <c r="L253" s="131">
        <f t="shared" si="90"/>
        <v>3.8888888888888888</v>
      </c>
      <c r="M253" s="131">
        <f t="shared" si="90"/>
        <v>3.6666666666666665</v>
      </c>
      <c r="N253" s="131">
        <f t="shared" si="90"/>
        <v>3.2222222222222223</v>
      </c>
      <c r="O253" s="131">
        <f t="shared" si="90"/>
        <v>36.444444444444443</v>
      </c>
    </row>
    <row r="254" spans="2:15" x14ac:dyDescent="0.25">
      <c r="B254" s="128" t="s">
        <v>24</v>
      </c>
      <c r="C254" s="131">
        <v>4.6500000000000004</v>
      </c>
      <c r="D254" s="131">
        <v>8.39</v>
      </c>
      <c r="E254" s="131">
        <v>7.45</v>
      </c>
      <c r="F254" s="131">
        <v>10</v>
      </c>
      <c r="G254" s="131">
        <v>5.04</v>
      </c>
      <c r="H254" s="131">
        <v>6.13</v>
      </c>
      <c r="I254" s="126">
        <v>4.84</v>
      </c>
      <c r="J254" s="131">
        <v>4.7</v>
      </c>
      <c r="K254" s="131">
        <v>6.8</v>
      </c>
      <c r="L254" s="131">
        <v>6.91</v>
      </c>
      <c r="M254" s="131">
        <v>5.12</v>
      </c>
      <c r="N254" s="131">
        <v>16.399999999999999</v>
      </c>
      <c r="O254" s="126">
        <v>6.61</v>
      </c>
    </row>
    <row r="255" spans="2:15" x14ac:dyDescent="0.25">
      <c r="B255" s="128" t="s">
        <v>103</v>
      </c>
      <c r="C255" s="131">
        <f>C249/C246*100</f>
        <v>49.820788530465947</v>
      </c>
      <c r="D255" s="131">
        <f t="shared" ref="D255:O255" si="91">D249/D246*100</f>
        <v>42.911877394636015</v>
      </c>
      <c r="E255" s="131">
        <f t="shared" si="91"/>
        <v>47.311827956989248</v>
      </c>
      <c r="F255" s="131">
        <f t="shared" si="91"/>
        <v>42.222222222222221</v>
      </c>
      <c r="G255" s="131">
        <f t="shared" si="91"/>
        <v>58.064516129032263</v>
      </c>
      <c r="H255" s="131">
        <f>H249/H246*100</f>
        <v>31.111111111111111</v>
      </c>
      <c r="I255" s="131">
        <f t="shared" si="91"/>
        <v>32.974910394265237</v>
      </c>
      <c r="J255" s="131">
        <f t="shared" si="91"/>
        <v>33.137829912023456</v>
      </c>
      <c r="K255" s="131">
        <f t="shared" si="91"/>
        <v>29.696969696969699</v>
      </c>
      <c r="L255" s="131">
        <f t="shared" si="91"/>
        <v>31.378299120234605</v>
      </c>
      <c r="M255" s="131">
        <f t="shared" si="91"/>
        <v>44.242424242424242</v>
      </c>
      <c r="N255" s="131">
        <f t="shared" si="91"/>
        <v>23.460410557184751</v>
      </c>
      <c r="O255" s="131">
        <f t="shared" si="91"/>
        <v>38.305555555555557</v>
      </c>
    </row>
    <row r="256" spans="2:15" x14ac:dyDescent="0.25">
      <c r="B256" s="128" t="s">
        <v>26</v>
      </c>
      <c r="C256" s="126">
        <v>0</v>
      </c>
      <c r="D256" s="126">
        <v>0</v>
      </c>
      <c r="E256" s="126">
        <v>0</v>
      </c>
      <c r="F256" s="126">
        <v>0</v>
      </c>
      <c r="G256" s="126">
        <v>2</v>
      </c>
      <c r="H256" s="126">
        <v>0</v>
      </c>
      <c r="I256" s="126">
        <v>0</v>
      </c>
      <c r="J256" s="126">
        <v>0</v>
      </c>
      <c r="K256" s="126">
        <v>0</v>
      </c>
      <c r="L256" s="126">
        <v>0</v>
      </c>
      <c r="M256" s="126">
        <v>0</v>
      </c>
      <c r="N256" s="126">
        <v>0</v>
      </c>
      <c r="O256" s="126">
        <f>SUM(C256:N256)</f>
        <v>2</v>
      </c>
    </row>
    <row r="257" spans="2:15" x14ac:dyDescent="0.25">
      <c r="B257" s="128" t="s">
        <v>79</v>
      </c>
      <c r="C257" s="126">
        <v>0</v>
      </c>
      <c r="D257" s="126">
        <v>0</v>
      </c>
      <c r="E257" s="126">
        <v>0</v>
      </c>
      <c r="F257" s="126">
        <v>0</v>
      </c>
      <c r="G257" s="126">
        <v>0</v>
      </c>
      <c r="H257" s="126">
        <v>0</v>
      </c>
      <c r="I257" s="126">
        <v>0</v>
      </c>
      <c r="J257" s="126">
        <v>0</v>
      </c>
      <c r="K257" s="126">
        <v>0</v>
      </c>
      <c r="L257" s="126">
        <v>0</v>
      </c>
      <c r="M257" s="126">
        <v>0</v>
      </c>
      <c r="N257" s="126">
        <v>0</v>
      </c>
      <c r="O257" s="126">
        <f>SUM(C257:N257)</f>
        <v>0</v>
      </c>
    </row>
    <row r="258" spans="2:15" x14ac:dyDescent="0.25">
      <c r="B258" s="128" t="s">
        <v>80</v>
      </c>
      <c r="C258" s="126">
        <v>0</v>
      </c>
      <c r="D258" s="126">
        <v>0</v>
      </c>
      <c r="E258" s="126">
        <v>0</v>
      </c>
      <c r="F258" s="126">
        <v>0</v>
      </c>
      <c r="G258" s="126">
        <v>2</v>
      </c>
      <c r="H258" s="126">
        <v>0</v>
      </c>
      <c r="I258" s="126">
        <v>0</v>
      </c>
      <c r="J258" s="126">
        <v>0</v>
      </c>
      <c r="K258" s="126">
        <v>0</v>
      </c>
      <c r="L258" s="126">
        <v>0</v>
      </c>
      <c r="M258" s="126">
        <v>0</v>
      </c>
      <c r="N258" s="126">
        <v>0</v>
      </c>
      <c r="O258" s="126">
        <f>SUM(C258:N258)</f>
        <v>2</v>
      </c>
    </row>
    <row r="259" spans="2:15" x14ac:dyDescent="0.25">
      <c r="B259" s="128" t="s">
        <v>31</v>
      </c>
      <c r="C259" s="126">
        <v>0</v>
      </c>
      <c r="D259" s="126">
        <v>0</v>
      </c>
      <c r="E259" s="126">
        <v>0</v>
      </c>
      <c r="F259" s="126">
        <v>0</v>
      </c>
      <c r="G259" s="126">
        <v>0</v>
      </c>
      <c r="H259" s="126">
        <v>0</v>
      </c>
      <c r="I259" s="126">
        <v>0</v>
      </c>
      <c r="J259" s="126">
        <v>0</v>
      </c>
      <c r="K259" s="126">
        <v>0</v>
      </c>
      <c r="L259" s="126">
        <v>0</v>
      </c>
      <c r="M259" s="126">
        <v>0</v>
      </c>
      <c r="N259" s="126">
        <v>0</v>
      </c>
      <c r="O259" s="126">
        <f>SUM(C259:N259)</f>
        <v>0</v>
      </c>
    </row>
    <row r="261" spans="2:15" ht="15.75" x14ac:dyDescent="0.25">
      <c r="B261" s="138"/>
      <c r="C261" s="167"/>
      <c r="D261" s="167"/>
      <c r="E261" s="167"/>
      <c r="F261" s="167"/>
      <c r="G261" s="167"/>
      <c r="H261" s="167"/>
      <c r="I261" s="167"/>
      <c r="J261" s="167"/>
    </row>
    <row r="262" spans="2:15" ht="15.75" customHeight="1" x14ac:dyDescent="0.25">
      <c r="B262" s="138"/>
      <c r="C262" s="167"/>
      <c r="D262" s="190" t="s">
        <v>116</v>
      </c>
      <c r="E262" s="190"/>
      <c r="F262" s="190"/>
      <c r="G262" s="190"/>
      <c r="H262" s="190"/>
      <c r="I262" s="190"/>
      <c r="J262" s="190"/>
      <c r="K262" s="190"/>
    </row>
    <row r="263" spans="2:15" x14ac:dyDescent="0.25">
      <c r="B263" s="172" t="s">
        <v>118</v>
      </c>
      <c r="D263" s="172"/>
      <c r="M263" s="172"/>
      <c r="N263" s="138"/>
    </row>
    <row r="264" spans="2:15" x14ac:dyDescent="0.25">
      <c r="C264" s="123" t="s">
        <v>1</v>
      </c>
      <c r="D264" s="173" t="s">
        <v>2</v>
      </c>
      <c r="E264" s="123" t="s">
        <v>3</v>
      </c>
      <c r="F264" s="123" t="s">
        <v>4</v>
      </c>
      <c r="G264" s="123" t="s">
        <v>5</v>
      </c>
      <c r="H264" s="123" t="s">
        <v>6</v>
      </c>
      <c r="I264" s="123" t="s">
        <v>7</v>
      </c>
      <c r="J264" s="173" t="s">
        <v>8</v>
      </c>
      <c r="K264" s="173" t="s">
        <v>9</v>
      </c>
      <c r="L264" s="173" t="s">
        <v>10</v>
      </c>
      <c r="M264" s="173" t="s">
        <v>11</v>
      </c>
      <c r="N264" s="173" t="s">
        <v>12</v>
      </c>
      <c r="O264" s="123" t="s">
        <v>13</v>
      </c>
    </row>
    <row r="265" spans="2:15" x14ac:dyDescent="0.25">
      <c r="B265" s="128" t="s">
        <v>14</v>
      </c>
      <c r="C265" s="126">
        <v>2</v>
      </c>
      <c r="D265" s="126">
        <v>2</v>
      </c>
      <c r="E265" s="126">
        <v>2</v>
      </c>
      <c r="F265" s="126">
        <v>2</v>
      </c>
      <c r="G265" s="126">
        <v>2</v>
      </c>
      <c r="H265" s="126">
        <v>2</v>
      </c>
      <c r="I265" s="126">
        <v>2</v>
      </c>
      <c r="J265" s="126">
        <v>2</v>
      </c>
      <c r="K265" s="126">
        <v>2</v>
      </c>
      <c r="L265" s="126">
        <v>2</v>
      </c>
      <c r="M265" s="126">
        <v>2</v>
      </c>
      <c r="N265" s="126">
        <v>2</v>
      </c>
      <c r="O265" s="126">
        <v>2</v>
      </c>
    </row>
    <row r="266" spans="2:15" x14ac:dyDescent="0.25">
      <c r="B266" s="128" t="s">
        <v>15</v>
      </c>
      <c r="C266" s="126">
        <v>3</v>
      </c>
      <c r="D266" s="126">
        <v>3</v>
      </c>
      <c r="E266" s="126">
        <v>1</v>
      </c>
      <c r="F266" s="126">
        <v>5</v>
      </c>
      <c r="G266" s="126">
        <v>12</v>
      </c>
      <c r="H266" s="126">
        <v>7</v>
      </c>
      <c r="I266" s="126">
        <v>2</v>
      </c>
      <c r="J266" s="126"/>
      <c r="K266" s="126"/>
      <c r="L266" s="126"/>
      <c r="M266" s="126"/>
      <c r="N266" s="126"/>
      <c r="O266" s="126">
        <f t="shared" ref="O266:O271" si="92">SUM(C266:N266)</f>
        <v>33</v>
      </c>
    </row>
    <row r="267" spans="2:15" x14ac:dyDescent="0.25">
      <c r="B267" s="128" t="s">
        <v>16</v>
      </c>
      <c r="C267" s="126">
        <v>3</v>
      </c>
      <c r="D267" s="126">
        <v>4</v>
      </c>
      <c r="E267" s="126">
        <v>3</v>
      </c>
      <c r="F267" s="126">
        <v>5</v>
      </c>
      <c r="G267" s="126">
        <v>11</v>
      </c>
      <c r="H267" s="126">
        <v>6</v>
      </c>
      <c r="I267" s="126">
        <v>3</v>
      </c>
      <c r="J267" s="126"/>
      <c r="K267" s="126"/>
      <c r="L267" s="126"/>
      <c r="M267" s="126"/>
      <c r="N267" s="126"/>
      <c r="O267" s="126">
        <f t="shared" si="92"/>
        <v>35</v>
      </c>
    </row>
    <row r="268" spans="2:15" x14ac:dyDescent="0.25">
      <c r="B268" s="128" t="s">
        <v>17</v>
      </c>
      <c r="C268" s="126">
        <v>62</v>
      </c>
      <c r="D268" s="126">
        <v>58</v>
      </c>
      <c r="E268" s="126">
        <v>62</v>
      </c>
      <c r="F268" s="126">
        <v>60</v>
      </c>
      <c r="G268" s="126">
        <v>62</v>
      </c>
      <c r="H268" s="126">
        <v>60</v>
      </c>
      <c r="I268" s="126">
        <v>62</v>
      </c>
      <c r="J268" s="126"/>
      <c r="K268" s="126"/>
      <c r="L268" s="126"/>
      <c r="M268" s="126"/>
      <c r="N268" s="126"/>
      <c r="O268" s="126">
        <f t="shared" si="92"/>
        <v>426</v>
      </c>
    </row>
    <row r="269" spans="2:15" x14ac:dyDescent="0.25">
      <c r="B269" s="128" t="s">
        <v>18</v>
      </c>
      <c r="C269" s="126">
        <v>5</v>
      </c>
      <c r="D269" s="126">
        <v>9</v>
      </c>
      <c r="E269" s="126">
        <v>2</v>
      </c>
      <c r="F269" s="126">
        <v>7</v>
      </c>
      <c r="G269" s="126">
        <v>21</v>
      </c>
      <c r="H269" s="126">
        <v>30</v>
      </c>
      <c r="I269" s="126">
        <v>6</v>
      </c>
      <c r="J269" s="126"/>
      <c r="K269" s="126"/>
      <c r="L269" s="126"/>
      <c r="M269" s="126"/>
      <c r="N269" s="126"/>
      <c r="O269" s="126">
        <f t="shared" si="92"/>
        <v>80</v>
      </c>
    </row>
    <row r="270" spans="2:15" x14ac:dyDescent="0.25">
      <c r="B270" s="128" t="s">
        <v>19</v>
      </c>
      <c r="C270" s="126">
        <v>6</v>
      </c>
      <c r="D270" s="126">
        <v>10</v>
      </c>
      <c r="E270" s="126">
        <v>5</v>
      </c>
      <c r="F270" s="126">
        <v>10</v>
      </c>
      <c r="G270" s="126">
        <v>23</v>
      </c>
      <c r="H270" s="126">
        <v>30</v>
      </c>
      <c r="I270" s="126">
        <v>14</v>
      </c>
      <c r="J270" s="126"/>
      <c r="K270" s="126"/>
      <c r="L270" s="126"/>
      <c r="M270" s="126"/>
      <c r="N270" s="126"/>
      <c r="O270" s="126">
        <f t="shared" si="92"/>
        <v>98</v>
      </c>
    </row>
    <row r="271" spans="2:15" x14ac:dyDescent="0.25">
      <c r="B271" s="128" t="s">
        <v>91</v>
      </c>
      <c r="C271" s="139">
        <f>0+0+0+0+0+0+0+0+0+0+0+0+0+0+0+3+3+2+2+2+1+0+0+2+1+1+1+1+0+0+0+0</f>
        <v>19</v>
      </c>
      <c r="D271" s="126">
        <f>0+0+0+0+0+0+0+0+0+0+0+0+0+0+0+0+0+0+0+0+1+1+1+1+1+1+0+0+0</f>
        <v>6</v>
      </c>
      <c r="E271" s="126">
        <f>1+1+0+0+1+1+2+2+2+2+1+1+1+1+1+1+0+0+1+1+1+1+1+1+1+0+1+1+1+1+1</f>
        <v>30</v>
      </c>
      <c r="F271" s="126">
        <f>0+0+0+0+0+0+0+0+1+1+1+1+1+0+0+0+0+0+0+1+1+3+3+3+3+1+2+2+1</f>
        <v>25</v>
      </c>
      <c r="G271" s="126">
        <f>1+1+1+2+2+2+2+2+2+1+2+2+2+4+4+5+4+5+4+4+2+3+3+4+4+4+3+3+3+3+2</f>
        <v>86</v>
      </c>
      <c r="H271" s="126">
        <f>2+2+2+2+3+3+3+4+3+3+3+3+2+2+2+2+1+1+2+2+2+2+2+1+1+1+1+2+2+2</f>
        <v>63</v>
      </c>
      <c r="I271" s="126">
        <f>2+2+2+2+2+1+1+1+1+1+1+2+2+2+1+1+1+1+1+1+1+1+1+1+1+1+1+2+2+1+1</f>
        <v>41</v>
      </c>
      <c r="J271" s="126"/>
      <c r="K271" s="126"/>
      <c r="L271" s="126"/>
      <c r="M271" s="126"/>
      <c r="N271" s="126"/>
      <c r="O271" s="126">
        <f t="shared" si="92"/>
        <v>270</v>
      </c>
    </row>
    <row r="272" spans="2:15" x14ac:dyDescent="0.25">
      <c r="B272" s="128" t="s">
        <v>74</v>
      </c>
      <c r="C272" s="131">
        <f>C269/C267</f>
        <v>1.6666666666666667</v>
      </c>
      <c r="D272" s="131">
        <f>D269/D267</f>
        <v>2.25</v>
      </c>
      <c r="E272" s="131">
        <f t="shared" ref="E272:N272" si="93">E269/E267</f>
        <v>0.66666666666666663</v>
      </c>
      <c r="F272" s="131">
        <f t="shared" si="93"/>
        <v>1.4</v>
      </c>
      <c r="G272" s="131">
        <f t="shared" si="93"/>
        <v>1.9090909090909092</v>
      </c>
      <c r="H272" s="131">
        <f t="shared" si="93"/>
        <v>5</v>
      </c>
      <c r="I272" s="131">
        <f t="shared" si="93"/>
        <v>2</v>
      </c>
      <c r="J272" s="131" t="e">
        <f t="shared" si="93"/>
        <v>#DIV/0!</v>
      </c>
      <c r="K272" s="131" t="e">
        <f t="shared" si="93"/>
        <v>#DIV/0!</v>
      </c>
      <c r="L272" s="131" t="e">
        <f t="shared" si="93"/>
        <v>#DIV/0!</v>
      </c>
      <c r="M272" s="131" t="e">
        <f t="shared" si="93"/>
        <v>#DIV/0!</v>
      </c>
      <c r="N272" s="131" t="e">
        <f t="shared" si="93"/>
        <v>#DIV/0!</v>
      </c>
      <c r="O272" s="131">
        <f>O269/O267</f>
        <v>2.2857142857142856</v>
      </c>
    </row>
    <row r="273" spans="2:15" x14ac:dyDescent="0.25">
      <c r="B273" s="128" t="s">
        <v>75</v>
      </c>
      <c r="C273" s="131">
        <f>C270/C267</f>
        <v>2</v>
      </c>
      <c r="D273" s="131">
        <f>D270/D267</f>
        <v>2.5</v>
      </c>
      <c r="E273" s="131">
        <f t="shared" ref="E273:O273" si="94">E270/E267</f>
        <v>1.6666666666666667</v>
      </c>
      <c r="F273" s="131">
        <f t="shared" si="94"/>
        <v>2</v>
      </c>
      <c r="G273" s="131">
        <f t="shared" si="94"/>
        <v>2.0909090909090908</v>
      </c>
      <c r="H273" s="131">
        <f t="shared" si="94"/>
        <v>5</v>
      </c>
      <c r="I273" s="131">
        <f t="shared" si="94"/>
        <v>4.666666666666667</v>
      </c>
      <c r="J273" s="131" t="e">
        <f t="shared" si="94"/>
        <v>#DIV/0!</v>
      </c>
      <c r="K273" s="131" t="e">
        <f t="shared" si="94"/>
        <v>#DIV/0!</v>
      </c>
      <c r="L273" s="131" t="e">
        <f t="shared" si="94"/>
        <v>#DIV/0!</v>
      </c>
      <c r="M273" s="131" t="e">
        <f t="shared" si="94"/>
        <v>#DIV/0!</v>
      </c>
      <c r="N273" s="131" t="e">
        <f t="shared" si="94"/>
        <v>#DIV/0!</v>
      </c>
      <c r="O273" s="131">
        <f t="shared" si="94"/>
        <v>2.8</v>
      </c>
    </row>
    <row r="274" spans="2:15" x14ac:dyDescent="0.25">
      <c r="B274" s="128" t="s">
        <v>102</v>
      </c>
      <c r="C274" s="131">
        <f>C269/C268*100</f>
        <v>8.064516129032258</v>
      </c>
      <c r="D274" s="131">
        <f>D269/D268*100</f>
        <v>15.517241379310345</v>
      </c>
      <c r="E274" s="131">
        <f t="shared" ref="E274:O274" si="95">E269/E268*100</f>
        <v>3.225806451612903</v>
      </c>
      <c r="F274" s="131">
        <f t="shared" si="95"/>
        <v>11.666666666666666</v>
      </c>
      <c r="G274" s="131">
        <f t="shared" si="95"/>
        <v>33.87096774193548</v>
      </c>
      <c r="H274" s="131">
        <f t="shared" si="95"/>
        <v>50</v>
      </c>
      <c r="I274" s="131">
        <f t="shared" si="95"/>
        <v>9.67741935483871</v>
      </c>
      <c r="J274" s="131" t="e">
        <f t="shared" si="95"/>
        <v>#DIV/0!</v>
      </c>
      <c r="K274" s="131" t="e">
        <f t="shared" si="95"/>
        <v>#DIV/0!</v>
      </c>
      <c r="L274" s="131" t="e">
        <f t="shared" si="95"/>
        <v>#DIV/0!</v>
      </c>
      <c r="M274" s="131" t="e">
        <f t="shared" si="95"/>
        <v>#DIV/0!</v>
      </c>
      <c r="N274" s="131" t="e">
        <f t="shared" si="95"/>
        <v>#DIV/0!</v>
      </c>
      <c r="O274" s="131">
        <f t="shared" si="95"/>
        <v>18.779342723004692</v>
      </c>
    </row>
    <row r="275" spans="2:15" x14ac:dyDescent="0.25">
      <c r="B275" s="128" t="s">
        <v>77</v>
      </c>
      <c r="C275" s="131">
        <f t="shared" ref="C275:O275" si="96">C267/C265</f>
        <v>1.5</v>
      </c>
      <c r="D275" s="131">
        <f t="shared" si="96"/>
        <v>2</v>
      </c>
      <c r="E275" s="131">
        <f t="shared" si="96"/>
        <v>1.5</v>
      </c>
      <c r="F275" s="131">
        <f t="shared" si="96"/>
        <v>2.5</v>
      </c>
      <c r="G275" s="131">
        <f t="shared" si="96"/>
        <v>5.5</v>
      </c>
      <c r="H275" s="131">
        <f t="shared" si="96"/>
        <v>3</v>
      </c>
      <c r="I275" s="131">
        <f t="shared" si="96"/>
        <v>1.5</v>
      </c>
      <c r="J275" s="131">
        <f t="shared" si="96"/>
        <v>0</v>
      </c>
      <c r="K275" s="131">
        <f t="shared" si="96"/>
        <v>0</v>
      </c>
      <c r="L275" s="131">
        <f t="shared" si="96"/>
        <v>0</v>
      </c>
      <c r="M275" s="131">
        <f t="shared" si="96"/>
        <v>0</v>
      </c>
      <c r="N275" s="131">
        <f t="shared" si="96"/>
        <v>0</v>
      </c>
      <c r="O275" s="131">
        <f t="shared" si="96"/>
        <v>17.5</v>
      </c>
    </row>
    <row r="276" spans="2:15" x14ac:dyDescent="0.25">
      <c r="B276" s="128" t="s">
        <v>24</v>
      </c>
      <c r="C276" s="131">
        <v>19</v>
      </c>
      <c r="D276" s="131">
        <v>12.25</v>
      </c>
      <c r="E276" s="131">
        <v>20</v>
      </c>
      <c r="F276" s="131">
        <v>10.6</v>
      </c>
      <c r="G276" s="131">
        <v>3.73</v>
      </c>
      <c r="H276" s="131">
        <v>6</v>
      </c>
      <c r="I276" s="131">
        <v>18.7</v>
      </c>
      <c r="J276" s="131"/>
      <c r="K276" s="131"/>
      <c r="L276" s="131"/>
      <c r="M276" s="131"/>
      <c r="N276" s="188"/>
      <c r="O276" s="126">
        <v>16.940000000000001</v>
      </c>
    </row>
    <row r="277" spans="2:15" x14ac:dyDescent="0.25">
      <c r="B277" s="128" t="s">
        <v>103</v>
      </c>
      <c r="C277" s="131">
        <f>C271/C268*100</f>
        <v>30.64516129032258</v>
      </c>
      <c r="D277" s="131">
        <f t="shared" ref="D277:O277" si="97">D271/D268*100</f>
        <v>10.344827586206897</v>
      </c>
      <c r="E277" s="131">
        <f t="shared" si="97"/>
        <v>48.387096774193552</v>
      </c>
      <c r="F277" s="131">
        <f t="shared" si="97"/>
        <v>41.666666666666671</v>
      </c>
      <c r="G277" s="131">
        <f t="shared" si="97"/>
        <v>138.70967741935485</v>
      </c>
      <c r="H277" s="131">
        <f t="shared" si="97"/>
        <v>105</v>
      </c>
      <c r="I277" s="131">
        <f t="shared" si="97"/>
        <v>66.129032258064512</v>
      </c>
      <c r="J277" s="131" t="e">
        <f t="shared" si="97"/>
        <v>#DIV/0!</v>
      </c>
      <c r="K277" s="131" t="e">
        <f t="shared" si="97"/>
        <v>#DIV/0!</v>
      </c>
      <c r="L277" s="131" t="e">
        <f t="shared" si="97"/>
        <v>#DIV/0!</v>
      </c>
      <c r="M277" s="131" t="e">
        <f t="shared" si="97"/>
        <v>#DIV/0!</v>
      </c>
      <c r="N277" s="131" t="e">
        <f t="shared" si="97"/>
        <v>#DIV/0!</v>
      </c>
      <c r="O277" s="131">
        <f t="shared" si="97"/>
        <v>63.380281690140848</v>
      </c>
    </row>
    <row r="278" spans="2:15" x14ac:dyDescent="0.25">
      <c r="B278" s="128" t="s">
        <v>26</v>
      </c>
      <c r="C278" s="126">
        <v>0</v>
      </c>
      <c r="D278" s="126">
        <v>0</v>
      </c>
      <c r="E278" s="126">
        <v>0</v>
      </c>
      <c r="F278" s="126">
        <v>0</v>
      </c>
      <c r="G278" s="126">
        <v>0</v>
      </c>
      <c r="H278" s="126">
        <v>0</v>
      </c>
      <c r="I278" s="126">
        <v>0</v>
      </c>
      <c r="J278" s="126">
        <v>0</v>
      </c>
      <c r="K278" s="126">
        <v>0</v>
      </c>
      <c r="L278" s="126">
        <v>0</v>
      </c>
      <c r="M278" s="126">
        <v>0</v>
      </c>
      <c r="N278" s="126">
        <v>0</v>
      </c>
      <c r="O278" s="126">
        <f>SUM(C278:N278)</f>
        <v>0</v>
      </c>
    </row>
    <row r="279" spans="2:15" x14ac:dyDescent="0.25">
      <c r="B279" s="128" t="s">
        <v>79</v>
      </c>
      <c r="C279" s="126">
        <v>0</v>
      </c>
      <c r="D279" s="126">
        <v>0</v>
      </c>
      <c r="E279" s="126">
        <v>0</v>
      </c>
      <c r="F279" s="126">
        <v>0</v>
      </c>
      <c r="G279" s="126">
        <v>0</v>
      </c>
      <c r="H279" s="126">
        <v>0</v>
      </c>
      <c r="I279" s="126">
        <v>0</v>
      </c>
      <c r="J279" s="126">
        <v>0</v>
      </c>
      <c r="K279" s="126">
        <v>0</v>
      </c>
      <c r="L279" s="126">
        <v>0</v>
      </c>
      <c r="M279" s="126">
        <v>0</v>
      </c>
      <c r="N279" s="126">
        <v>0</v>
      </c>
      <c r="O279" s="126">
        <f>SUM(C279:N279)</f>
        <v>0</v>
      </c>
    </row>
    <row r="280" spans="2:15" x14ac:dyDescent="0.25">
      <c r="B280" s="128" t="s">
        <v>80</v>
      </c>
      <c r="C280" s="126">
        <v>0</v>
      </c>
      <c r="D280" s="126">
        <v>0</v>
      </c>
      <c r="E280" s="126">
        <v>0</v>
      </c>
      <c r="F280" s="126">
        <v>0</v>
      </c>
      <c r="G280" s="126">
        <v>0</v>
      </c>
      <c r="H280" s="126">
        <v>0</v>
      </c>
      <c r="I280" s="126">
        <v>0</v>
      </c>
      <c r="J280" s="126">
        <v>0</v>
      </c>
      <c r="K280" s="126">
        <v>0</v>
      </c>
      <c r="L280" s="126">
        <v>0</v>
      </c>
      <c r="M280" s="126">
        <v>0</v>
      </c>
      <c r="N280" s="126">
        <v>0</v>
      </c>
      <c r="O280" s="126">
        <f>SUM(C280:N280)</f>
        <v>0</v>
      </c>
    </row>
    <row r="281" spans="2:15" x14ac:dyDescent="0.25">
      <c r="B281" s="128" t="s">
        <v>31</v>
      </c>
      <c r="C281" s="126">
        <v>0</v>
      </c>
      <c r="D281" s="126">
        <v>0</v>
      </c>
      <c r="E281" s="126">
        <v>0</v>
      </c>
      <c r="F281" s="126">
        <v>0</v>
      </c>
      <c r="G281" s="126">
        <v>0</v>
      </c>
      <c r="H281" s="126">
        <v>0</v>
      </c>
      <c r="I281" s="126">
        <v>0</v>
      </c>
      <c r="J281" s="126">
        <v>0</v>
      </c>
      <c r="K281" s="126">
        <v>0</v>
      </c>
      <c r="L281" s="126">
        <v>0</v>
      </c>
      <c r="M281" s="126">
        <v>0</v>
      </c>
      <c r="N281" s="126">
        <v>0</v>
      </c>
      <c r="O281" s="126">
        <f>SUM(C281:N281)</f>
        <v>0</v>
      </c>
    </row>
  </sheetData>
  <mergeCells count="11">
    <mergeCell ref="B2:O2"/>
    <mergeCell ref="B3:O3"/>
    <mergeCell ref="B45:O45"/>
    <mergeCell ref="C69:L69"/>
    <mergeCell ref="D91:K91"/>
    <mergeCell ref="D218:K218"/>
    <mergeCell ref="C240:O240"/>
    <mergeCell ref="D262:K262"/>
    <mergeCell ref="B113:O113"/>
    <mergeCell ref="D135:L135"/>
    <mergeCell ref="C157:J1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O260"/>
  <sheetViews>
    <sheetView workbookViewId="0">
      <selection activeCell="F18" sqref="F18"/>
    </sheetView>
  </sheetViews>
  <sheetFormatPr baseColWidth="10" defaultRowHeight="15" x14ac:dyDescent="0.25"/>
  <cols>
    <col min="1" max="1" width="3.42578125" style="139" customWidth="1"/>
    <col min="2" max="2" width="30.5703125" style="139" bestFit="1" customWidth="1"/>
    <col min="3" max="14" width="10" style="139" customWidth="1"/>
    <col min="15" max="16384" width="11.42578125" style="139"/>
  </cols>
  <sheetData>
    <row r="2" spans="2:15" ht="18" x14ac:dyDescent="0.25">
      <c r="B2" s="191" t="s">
        <v>69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2:15" ht="15.75" x14ac:dyDescent="0.25">
      <c r="B3" s="192">
        <v>2013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2:15" x14ac:dyDescent="0.25">
      <c r="C4" s="123" t="s">
        <v>1</v>
      </c>
      <c r="D4" s="123" t="s">
        <v>2</v>
      </c>
      <c r="E4" s="123" t="s">
        <v>3</v>
      </c>
      <c r="F4" s="123" t="s">
        <v>4</v>
      </c>
      <c r="G4" s="123" t="s">
        <v>5</v>
      </c>
      <c r="H4" s="123" t="s">
        <v>6</v>
      </c>
      <c r="I4" s="123" t="s">
        <v>7</v>
      </c>
      <c r="J4" s="123" t="s">
        <v>8</v>
      </c>
      <c r="K4" s="123" t="s">
        <v>9</v>
      </c>
      <c r="L4" s="123" t="s">
        <v>10</v>
      </c>
      <c r="M4" s="123" t="s">
        <v>11</v>
      </c>
      <c r="N4" s="123" t="s">
        <v>12</v>
      </c>
      <c r="O4" s="123" t="s">
        <v>13</v>
      </c>
    </row>
    <row r="5" spans="2:15" x14ac:dyDescent="0.25">
      <c r="B5" s="128" t="s">
        <v>14</v>
      </c>
      <c r="C5" s="126">
        <f t="shared" ref="C5:N5" si="0">C48+C72+C94+C116+C138+C160+C200</f>
        <v>176</v>
      </c>
      <c r="D5" s="126">
        <f t="shared" si="0"/>
        <v>176</v>
      </c>
      <c r="E5" s="126">
        <f t="shared" si="0"/>
        <v>176</v>
      </c>
      <c r="F5" s="126">
        <f t="shared" si="0"/>
        <v>176</v>
      </c>
      <c r="G5" s="126">
        <f t="shared" si="0"/>
        <v>176</v>
      </c>
      <c r="H5" s="126">
        <f t="shared" si="0"/>
        <v>176</v>
      </c>
      <c r="I5" s="126">
        <f t="shared" si="0"/>
        <v>176</v>
      </c>
      <c r="J5" s="126">
        <f t="shared" si="0"/>
        <v>176</v>
      </c>
      <c r="K5" s="126">
        <f t="shared" si="0"/>
        <v>176</v>
      </c>
      <c r="L5" s="126">
        <f t="shared" si="0"/>
        <v>176</v>
      </c>
      <c r="M5" s="126">
        <f t="shared" si="0"/>
        <v>176</v>
      </c>
      <c r="N5" s="126">
        <f t="shared" si="0"/>
        <v>176</v>
      </c>
      <c r="O5" s="126">
        <f t="shared" ref="O5:O11" si="1">SUM(C5:N5)</f>
        <v>2112</v>
      </c>
    </row>
    <row r="6" spans="2:15" x14ac:dyDescent="0.25">
      <c r="B6" s="128" t="s">
        <v>15</v>
      </c>
      <c r="C6" s="126">
        <f t="shared" ref="C6:H10" si="2">C49+C73+C95+C117+C139+C161+C201</f>
        <v>677</v>
      </c>
      <c r="D6" s="126">
        <f t="shared" si="2"/>
        <v>684</v>
      </c>
      <c r="E6" s="126">
        <f t="shared" si="2"/>
        <v>778</v>
      </c>
      <c r="F6" s="126">
        <f t="shared" si="2"/>
        <v>756</v>
      </c>
      <c r="G6" s="126">
        <f t="shared" si="2"/>
        <v>852</v>
      </c>
      <c r="H6" s="126">
        <f t="shared" si="2"/>
        <v>763</v>
      </c>
      <c r="I6" s="126">
        <v>726</v>
      </c>
      <c r="J6" s="126">
        <f t="shared" ref="J6:N10" si="3">J49+J73+J95+J117+J139+J161+J201</f>
        <v>631</v>
      </c>
      <c r="K6" s="126">
        <f t="shared" si="3"/>
        <v>715</v>
      </c>
      <c r="L6" s="126">
        <f t="shared" si="3"/>
        <v>742</v>
      </c>
      <c r="M6" s="126">
        <f t="shared" si="3"/>
        <v>702</v>
      </c>
      <c r="N6" s="126">
        <f t="shared" si="3"/>
        <v>667</v>
      </c>
      <c r="O6" s="126">
        <f t="shared" si="1"/>
        <v>8693</v>
      </c>
    </row>
    <row r="7" spans="2:15" x14ac:dyDescent="0.25">
      <c r="B7" s="128" t="s">
        <v>16</v>
      </c>
      <c r="C7" s="126">
        <f t="shared" si="2"/>
        <v>655</v>
      </c>
      <c r="D7" s="126">
        <f t="shared" si="2"/>
        <v>654</v>
      </c>
      <c r="E7" s="126">
        <f t="shared" si="2"/>
        <v>794</v>
      </c>
      <c r="F7" s="126">
        <f t="shared" si="2"/>
        <v>742</v>
      </c>
      <c r="G7" s="126">
        <f t="shared" si="2"/>
        <v>834</v>
      </c>
      <c r="H7" s="126">
        <f t="shared" si="2"/>
        <v>767</v>
      </c>
      <c r="I7" s="126">
        <v>737</v>
      </c>
      <c r="J7" s="126">
        <f t="shared" si="3"/>
        <v>611</v>
      </c>
      <c r="K7" s="126">
        <f t="shared" si="3"/>
        <v>723</v>
      </c>
      <c r="L7" s="126">
        <f t="shared" si="3"/>
        <v>720</v>
      </c>
      <c r="M7" s="126">
        <f t="shared" si="3"/>
        <v>669</v>
      </c>
      <c r="N7" s="126">
        <f t="shared" si="3"/>
        <v>711</v>
      </c>
      <c r="O7" s="126">
        <f t="shared" si="1"/>
        <v>8617</v>
      </c>
    </row>
    <row r="8" spans="2:15" x14ac:dyDescent="0.25">
      <c r="B8" s="128" t="s">
        <v>17</v>
      </c>
      <c r="C8" s="126">
        <f t="shared" si="2"/>
        <v>5456</v>
      </c>
      <c r="D8" s="126">
        <f t="shared" si="2"/>
        <v>4928</v>
      </c>
      <c r="E8" s="126">
        <f t="shared" si="2"/>
        <v>5456</v>
      </c>
      <c r="F8" s="126">
        <f t="shared" si="2"/>
        <v>5280</v>
      </c>
      <c r="G8" s="126">
        <f t="shared" si="2"/>
        <v>5456</v>
      </c>
      <c r="H8" s="126">
        <f t="shared" si="2"/>
        <v>5280</v>
      </c>
      <c r="I8" s="126">
        <f>I51+I75+I97+I119+I141+I163+I203</f>
        <v>5456</v>
      </c>
      <c r="J8" s="126">
        <f t="shared" si="3"/>
        <v>5456</v>
      </c>
      <c r="K8" s="126">
        <f t="shared" si="3"/>
        <v>5280</v>
      </c>
      <c r="L8" s="126">
        <f t="shared" si="3"/>
        <v>5456</v>
      </c>
      <c r="M8" s="126">
        <f t="shared" si="3"/>
        <v>5280</v>
      </c>
      <c r="N8" s="126">
        <f t="shared" si="3"/>
        <v>5456</v>
      </c>
      <c r="O8" s="126">
        <f t="shared" si="1"/>
        <v>64240</v>
      </c>
    </row>
    <row r="9" spans="2:15" x14ac:dyDescent="0.25">
      <c r="B9" s="128" t="s">
        <v>18</v>
      </c>
      <c r="C9" s="126">
        <f t="shared" si="2"/>
        <v>2021</v>
      </c>
      <c r="D9" s="126">
        <f t="shared" si="2"/>
        <v>2289</v>
      </c>
      <c r="E9" s="126">
        <f t="shared" si="2"/>
        <v>2513</v>
      </c>
      <c r="F9" s="126">
        <f t="shared" si="2"/>
        <v>2220</v>
      </c>
      <c r="G9" s="126">
        <f t="shared" si="2"/>
        <v>2515</v>
      </c>
      <c r="H9" s="126">
        <f t="shared" si="2"/>
        <v>2355</v>
      </c>
      <c r="I9" s="126">
        <v>2247</v>
      </c>
      <c r="J9" s="126">
        <f t="shared" si="3"/>
        <v>1818</v>
      </c>
      <c r="K9" s="126">
        <f t="shared" si="3"/>
        <v>2310</v>
      </c>
      <c r="L9" s="126">
        <f t="shared" si="3"/>
        <v>2393</v>
      </c>
      <c r="M9" s="126">
        <f t="shared" si="3"/>
        <v>1986</v>
      </c>
      <c r="N9" s="126">
        <f t="shared" si="3"/>
        <v>2259</v>
      </c>
      <c r="O9" s="126">
        <f t="shared" si="1"/>
        <v>26926</v>
      </c>
    </row>
    <row r="10" spans="2:15" x14ac:dyDescent="0.25">
      <c r="B10" s="128" t="s">
        <v>19</v>
      </c>
      <c r="C10" s="126">
        <f t="shared" si="2"/>
        <v>2185</v>
      </c>
      <c r="D10" s="126">
        <f t="shared" si="2"/>
        <v>2530</v>
      </c>
      <c r="E10" s="126">
        <f t="shared" si="2"/>
        <v>2986</v>
      </c>
      <c r="F10" s="126">
        <f t="shared" si="2"/>
        <v>2815</v>
      </c>
      <c r="G10" s="126">
        <f t="shared" si="2"/>
        <v>3104</v>
      </c>
      <c r="H10" s="126">
        <f t="shared" si="2"/>
        <v>2916</v>
      </c>
      <c r="I10" s="126">
        <v>2559</v>
      </c>
      <c r="J10" s="126">
        <f t="shared" si="3"/>
        <v>2035</v>
      </c>
      <c r="K10" s="126">
        <f t="shared" si="3"/>
        <v>2843</v>
      </c>
      <c r="L10" s="126">
        <f t="shared" si="3"/>
        <v>2734</v>
      </c>
      <c r="M10" s="126">
        <f t="shared" si="3"/>
        <v>2328</v>
      </c>
      <c r="N10" s="126">
        <f t="shared" si="3"/>
        <v>3042</v>
      </c>
      <c r="O10" s="126">
        <f t="shared" si="1"/>
        <v>32077</v>
      </c>
    </row>
    <row r="11" spans="2:15" x14ac:dyDescent="0.25">
      <c r="B11" s="128" t="s">
        <v>20</v>
      </c>
      <c r="C11" s="129">
        <f t="shared" ref="C11:N11" si="4">C54+C78+C100+C122+C144+C168+C206</f>
        <v>2585</v>
      </c>
      <c r="D11" s="129">
        <f t="shared" si="4"/>
        <v>2760</v>
      </c>
      <c r="E11" s="129">
        <f t="shared" si="4"/>
        <v>3052</v>
      </c>
      <c r="F11" s="129">
        <f t="shared" si="4"/>
        <v>2860</v>
      </c>
      <c r="G11" s="129">
        <f t="shared" si="4"/>
        <v>3055</v>
      </c>
      <c r="H11" s="129">
        <f t="shared" si="4"/>
        <v>2737</v>
      </c>
      <c r="I11" s="129">
        <f t="shared" si="4"/>
        <v>2767</v>
      </c>
      <c r="J11" s="129">
        <f t="shared" si="4"/>
        <v>2675</v>
      </c>
      <c r="K11" s="129">
        <f t="shared" si="4"/>
        <v>2944</v>
      </c>
      <c r="L11" s="129">
        <f t="shared" si="4"/>
        <v>3129</v>
      </c>
      <c r="M11" s="129">
        <f t="shared" si="4"/>
        <v>3176</v>
      </c>
      <c r="N11" s="129">
        <f t="shared" si="4"/>
        <v>2896</v>
      </c>
      <c r="O11" s="129">
        <f t="shared" si="1"/>
        <v>34636</v>
      </c>
    </row>
    <row r="12" spans="2:15" x14ac:dyDescent="0.25">
      <c r="B12" s="128" t="s">
        <v>74</v>
      </c>
      <c r="C12" s="131">
        <f t="shared" ref="C12:O12" si="5">C9/C7</f>
        <v>3.0854961832061067</v>
      </c>
      <c r="D12" s="131">
        <f t="shared" si="5"/>
        <v>3.5</v>
      </c>
      <c r="E12" s="131">
        <f t="shared" si="5"/>
        <v>3.1649874055415617</v>
      </c>
      <c r="F12" s="131">
        <f t="shared" si="5"/>
        <v>2.9919137466307277</v>
      </c>
      <c r="G12" s="131">
        <f t="shared" si="5"/>
        <v>3.0155875299760191</v>
      </c>
      <c r="H12" s="131">
        <f t="shared" si="5"/>
        <v>3.0704041720990873</v>
      </c>
      <c r="I12" s="131">
        <f t="shared" si="5"/>
        <v>3.0488466757123476</v>
      </c>
      <c r="J12" s="131">
        <f t="shared" si="5"/>
        <v>2.9754500818330607</v>
      </c>
      <c r="K12" s="131">
        <f t="shared" si="5"/>
        <v>3.195020746887967</v>
      </c>
      <c r="L12" s="131">
        <f t="shared" si="5"/>
        <v>3.3236111111111111</v>
      </c>
      <c r="M12" s="131">
        <f t="shared" si="5"/>
        <v>2.9686098654708521</v>
      </c>
      <c r="N12" s="131">
        <f t="shared" si="5"/>
        <v>3.1772151898734178</v>
      </c>
      <c r="O12" s="131">
        <f t="shared" si="5"/>
        <v>3.1247533944528256</v>
      </c>
    </row>
    <row r="13" spans="2:15" x14ac:dyDescent="0.25">
      <c r="B13" s="128" t="s">
        <v>75</v>
      </c>
      <c r="C13" s="131">
        <f>C9/C7</f>
        <v>3.0854961832061067</v>
      </c>
      <c r="D13" s="131">
        <f t="shared" ref="D13:O13" si="6">D9/D7</f>
        <v>3.5</v>
      </c>
      <c r="E13" s="131">
        <f t="shared" si="6"/>
        <v>3.1649874055415617</v>
      </c>
      <c r="F13" s="131">
        <f t="shared" si="6"/>
        <v>2.9919137466307277</v>
      </c>
      <c r="G13" s="131">
        <f t="shared" si="6"/>
        <v>3.0155875299760191</v>
      </c>
      <c r="H13" s="131">
        <f t="shared" si="6"/>
        <v>3.0704041720990873</v>
      </c>
      <c r="I13" s="131">
        <f t="shared" si="6"/>
        <v>3.0488466757123476</v>
      </c>
      <c r="J13" s="131">
        <f t="shared" si="6"/>
        <v>2.9754500818330607</v>
      </c>
      <c r="K13" s="131">
        <f t="shared" si="6"/>
        <v>3.195020746887967</v>
      </c>
      <c r="L13" s="131">
        <f t="shared" si="6"/>
        <v>3.3236111111111111</v>
      </c>
      <c r="M13" s="131">
        <f t="shared" si="6"/>
        <v>2.9686098654708521</v>
      </c>
      <c r="N13" s="131">
        <f t="shared" si="6"/>
        <v>3.1772151898734178</v>
      </c>
      <c r="O13" s="131">
        <f t="shared" si="6"/>
        <v>3.1247533944528256</v>
      </c>
    </row>
    <row r="14" spans="2:15" x14ac:dyDescent="0.25">
      <c r="B14" s="128" t="s">
        <v>76</v>
      </c>
      <c r="C14" s="131">
        <f t="shared" ref="C14:N14" si="7">C9/C8*100</f>
        <v>37.041788856304983</v>
      </c>
      <c r="D14" s="131">
        <f t="shared" si="7"/>
        <v>46.448863636363633</v>
      </c>
      <c r="E14" s="131">
        <f t="shared" si="7"/>
        <v>46.05938416422287</v>
      </c>
      <c r="F14" s="131">
        <f t="shared" si="7"/>
        <v>42.045454545454547</v>
      </c>
      <c r="G14" s="131">
        <f t="shared" si="7"/>
        <v>46.096041055718473</v>
      </c>
      <c r="H14" s="131">
        <f t="shared" si="7"/>
        <v>44.602272727272727</v>
      </c>
      <c r="I14" s="131">
        <f t="shared" si="7"/>
        <v>41.184017595307921</v>
      </c>
      <c r="J14" s="131">
        <f t="shared" si="7"/>
        <v>33.321114369501466</v>
      </c>
      <c r="K14" s="131">
        <f t="shared" si="7"/>
        <v>43.75</v>
      </c>
      <c r="L14" s="131">
        <f t="shared" si="7"/>
        <v>43.859970674486803</v>
      </c>
      <c r="M14" s="131">
        <f t="shared" si="7"/>
        <v>37.613636363636367</v>
      </c>
      <c r="N14" s="131">
        <f t="shared" si="7"/>
        <v>41.403958944281527</v>
      </c>
      <c r="O14" s="131">
        <f>O9/O8*100</f>
        <v>41.914694894146947</v>
      </c>
    </row>
    <row r="15" spans="2:15" x14ac:dyDescent="0.25">
      <c r="B15" s="128" t="s">
        <v>77</v>
      </c>
      <c r="C15" s="131">
        <f>C7/C5</f>
        <v>3.7215909090909092</v>
      </c>
      <c r="D15" s="131">
        <f t="shared" ref="D15:N15" si="8">D7/D5</f>
        <v>3.7159090909090908</v>
      </c>
      <c r="E15" s="131">
        <f t="shared" si="8"/>
        <v>4.5113636363636367</v>
      </c>
      <c r="F15" s="131">
        <f t="shared" si="8"/>
        <v>4.2159090909090908</v>
      </c>
      <c r="G15" s="131">
        <f t="shared" si="8"/>
        <v>4.7386363636363633</v>
      </c>
      <c r="H15" s="131">
        <f t="shared" si="8"/>
        <v>4.3579545454545459</v>
      </c>
      <c r="I15" s="131">
        <f t="shared" si="8"/>
        <v>4.1875</v>
      </c>
      <c r="J15" s="131">
        <f t="shared" si="8"/>
        <v>3.4715909090909092</v>
      </c>
      <c r="K15" s="131">
        <f t="shared" si="8"/>
        <v>4.1079545454545459</v>
      </c>
      <c r="L15" s="131">
        <f t="shared" si="8"/>
        <v>4.0909090909090908</v>
      </c>
      <c r="M15" s="131">
        <f t="shared" si="8"/>
        <v>3.8011363636363638</v>
      </c>
      <c r="N15" s="131">
        <f t="shared" si="8"/>
        <v>4.0397727272727275</v>
      </c>
      <c r="O15" s="131">
        <f>O7/O5</f>
        <v>4.0800189393939394</v>
      </c>
    </row>
    <row r="16" spans="2:15" x14ac:dyDescent="0.25">
      <c r="B16" s="128" t="s">
        <v>24</v>
      </c>
      <c r="C16" s="131">
        <f>(C8-C11)/C7</f>
        <v>4.3832061068702286</v>
      </c>
      <c r="D16" s="131">
        <f t="shared" ref="D16:O16" si="9">(D8-D11)/D7</f>
        <v>3.3149847094801221</v>
      </c>
      <c r="E16" s="131">
        <f t="shared" si="9"/>
        <v>3.0277078085642319</v>
      </c>
      <c r="F16" s="131">
        <f t="shared" si="9"/>
        <v>3.2614555256064688</v>
      </c>
      <c r="G16" s="131">
        <f t="shared" si="9"/>
        <v>2.8788968824940047</v>
      </c>
      <c r="H16" s="131">
        <f t="shared" si="9"/>
        <v>3.315514993481095</v>
      </c>
      <c r="I16" s="131">
        <f t="shared" si="9"/>
        <v>3.6485753052917231</v>
      </c>
      <c r="J16" s="131">
        <f t="shared" si="9"/>
        <v>4.5515548281505724</v>
      </c>
      <c r="K16" s="131">
        <f t="shared" si="9"/>
        <v>3.2309820193637622</v>
      </c>
      <c r="L16" s="131">
        <f t="shared" si="9"/>
        <v>3.2319444444444443</v>
      </c>
      <c r="M16" s="131">
        <f t="shared" si="9"/>
        <v>3.1449925261584455</v>
      </c>
      <c r="N16" s="131">
        <f t="shared" si="9"/>
        <v>3.6005625879043599</v>
      </c>
      <c r="O16" s="131">
        <f t="shared" si="9"/>
        <v>3.4355344087269351</v>
      </c>
    </row>
    <row r="17" spans="2:15" x14ac:dyDescent="0.25">
      <c r="B17" s="156" t="s">
        <v>78</v>
      </c>
      <c r="C17" s="131">
        <f>C11/C8*100</f>
        <v>47.37903225806452</v>
      </c>
      <c r="D17" s="131">
        <f t="shared" ref="D17:I17" si="10">D11/D8*100</f>
        <v>56.006493506493506</v>
      </c>
      <c r="E17" s="131">
        <f t="shared" si="10"/>
        <v>55.938416422287382</v>
      </c>
      <c r="F17" s="131">
        <f t="shared" si="10"/>
        <v>54.166666666666664</v>
      </c>
      <c r="G17" s="131">
        <f t="shared" si="10"/>
        <v>55.993401759530791</v>
      </c>
      <c r="H17" s="131">
        <f t="shared" si="10"/>
        <v>51.837121212121204</v>
      </c>
      <c r="I17" s="131">
        <f t="shared" si="10"/>
        <v>50.714809384164226</v>
      </c>
      <c r="J17" s="131">
        <f>J11/J8*100</f>
        <v>49.028592375366571</v>
      </c>
      <c r="K17" s="131">
        <f>K11/K8*100</f>
        <v>55.757575757575765</v>
      </c>
      <c r="L17" s="131">
        <f>L11/L8*100</f>
        <v>57.349706744868037</v>
      </c>
      <c r="M17" s="131">
        <f>M11/M8*100</f>
        <v>60.151515151515156</v>
      </c>
      <c r="N17" s="131">
        <f>N11/N8*100</f>
        <v>53.079178885630498</v>
      </c>
      <c r="O17" s="131">
        <f>SUM(O11*100/O8)</f>
        <v>53.916562889165625</v>
      </c>
    </row>
    <row r="18" spans="2:15" x14ac:dyDescent="0.25">
      <c r="B18" s="183" t="s">
        <v>26</v>
      </c>
      <c r="C18" s="136">
        <f t="shared" ref="C18:O18" si="11">C61+C85+C107+C129+C151+C175+C213</f>
        <v>5</v>
      </c>
      <c r="D18" s="136">
        <f t="shared" si="11"/>
        <v>15</v>
      </c>
      <c r="E18" s="136">
        <f t="shared" si="11"/>
        <v>23</v>
      </c>
      <c r="F18" s="136">
        <f t="shared" si="11"/>
        <v>17</v>
      </c>
      <c r="G18" s="136">
        <f t="shared" si="11"/>
        <v>14</v>
      </c>
      <c r="H18" s="136">
        <f t="shared" si="11"/>
        <v>13</v>
      </c>
      <c r="I18" s="136">
        <f t="shared" si="11"/>
        <v>18</v>
      </c>
      <c r="J18" s="136">
        <f t="shared" si="11"/>
        <v>20</v>
      </c>
      <c r="K18" s="136">
        <f t="shared" si="11"/>
        <v>11</v>
      </c>
      <c r="L18" s="136">
        <f t="shared" si="11"/>
        <v>11</v>
      </c>
      <c r="M18" s="136">
        <f t="shared" si="11"/>
        <v>14</v>
      </c>
      <c r="N18" s="136">
        <f t="shared" si="11"/>
        <v>19</v>
      </c>
      <c r="O18" s="126">
        <f t="shared" si="11"/>
        <v>180</v>
      </c>
    </row>
    <row r="19" spans="2:15" x14ac:dyDescent="0.25">
      <c r="B19" s="183" t="s">
        <v>79</v>
      </c>
      <c r="C19" s="136">
        <f t="shared" ref="C19:O19" si="12">C62+C86+C108+C130+C152+C176+C214</f>
        <v>3</v>
      </c>
      <c r="D19" s="136">
        <f t="shared" si="12"/>
        <v>12</v>
      </c>
      <c r="E19" s="136">
        <f t="shared" si="12"/>
        <v>18</v>
      </c>
      <c r="F19" s="136">
        <f t="shared" si="12"/>
        <v>7</v>
      </c>
      <c r="G19" s="136">
        <f t="shared" si="12"/>
        <v>7</v>
      </c>
      <c r="H19" s="136">
        <f t="shared" si="12"/>
        <v>10</v>
      </c>
      <c r="I19" s="136">
        <f t="shared" si="12"/>
        <v>13</v>
      </c>
      <c r="J19" s="136">
        <f t="shared" si="12"/>
        <v>17</v>
      </c>
      <c r="K19" s="136">
        <f t="shared" si="12"/>
        <v>8</v>
      </c>
      <c r="L19" s="136">
        <f t="shared" si="12"/>
        <v>8</v>
      </c>
      <c r="M19" s="136">
        <f t="shared" si="12"/>
        <v>11</v>
      </c>
      <c r="N19" s="126">
        <f t="shared" si="12"/>
        <v>14</v>
      </c>
      <c r="O19" s="126">
        <f t="shared" si="12"/>
        <v>128</v>
      </c>
    </row>
    <row r="20" spans="2:15" x14ac:dyDescent="0.25">
      <c r="B20" s="183" t="s">
        <v>80</v>
      </c>
      <c r="C20" s="136">
        <f t="shared" ref="C20:O20" si="13">C63+C87+C109+C131+C153+C177+C215</f>
        <v>2</v>
      </c>
      <c r="D20" s="136">
        <f t="shared" si="13"/>
        <v>0</v>
      </c>
      <c r="E20" s="136">
        <f t="shared" si="13"/>
        <v>8</v>
      </c>
      <c r="F20" s="136">
        <f t="shared" si="13"/>
        <v>10</v>
      </c>
      <c r="G20" s="136">
        <f t="shared" si="13"/>
        <v>7</v>
      </c>
      <c r="H20" s="136">
        <f t="shared" si="13"/>
        <v>3</v>
      </c>
      <c r="I20" s="136">
        <f t="shared" si="13"/>
        <v>5</v>
      </c>
      <c r="J20" s="136">
        <f t="shared" si="13"/>
        <v>3</v>
      </c>
      <c r="K20" s="136">
        <f t="shared" si="13"/>
        <v>2</v>
      </c>
      <c r="L20" s="136">
        <f t="shared" si="13"/>
        <v>3</v>
      </c>
      <c r="M20" s="136">
        <f t="shared" si="13"/>
        <v>3</v>
      </c>
      <c r="N20" s="126">
        <f t="shared" si="13"/>
        <v>5</v>
      </c>
      <c r="O20" s="126">
        <f t="shared" si="13"/>
        <v>51</v>
      </c>
    </row>
    <row r="21" spans="2:15" x14ac:dyDescent="0.25">
      <c r="B21" s="128" t="s">
        <v>29</v>
      </c>
      <c r="C21" s="131">
        <f>C18/C7*100</f>
        <v>0.76335877862595414</v>
      </c>
      <c r="D21" s="131">
        <f t="shared" ref="D21:O21" si="14">D18/D7*100</f>
        <v>2.2935779816513762</v>
      </c>
      <c r="E21" s="131">
        <f t="shared" si="14"/>
        <v>2.8967254408060454</v>
      </c>
      <c r="F21" s="131">
        <f t="shared" si="14"/>
        <v>2.2911051212938007</v>
      </c>
      <c r="G21" s="131">
        <f t="shared" si="14"/>
        <v>1.6786570743405276</v>
      </c>
      <c r="H21" s="131">
        <f t="shared" si="14"/>
        <v>1.6949152542372881</v>
      </c>
      <c r="I21" s="131">
        <f t="shared" si="14"/>
        <v>2.4423337856173677</v>
      </c>
      <c r="J21" s="131">
        <f t="shared" si="14"/>
        <v>3.2733224222585928</v>
      </c>
      <c r="K21" s="131">
        <f t="shared" si="14"/>
        <v>1.5214384508990317</v>
      </c>
      <c r="L21" s="131">
        <f t="shared" si="14"/>
        <v>1.5277777777777777</v>
      </c>
      <c r="M21" s="131">
        <f t="shared" si="14"/>
        <v>2.0926756352765321</v>
      </c>
      <c r="N21" s="131">
        <f t="shared" si="14"/>
        <v>2.6722925457102673</v>
      </c>
      <c r="O21" s="131">
        <f t="shared" si="14"/>
        <v>2.088894046651967</v>
      </c>
    </row>
    <row r="22" spans="2:15" x14ac:dyDescent="0.25">
      <c r="B22" s="128" t="s">
        <v>30</v>
      </c>
      <c r="C22" s="131">
        <f>C19/C7*100</f>
        <v>0.45801526717557256</v>
      </c>
      <c r="D22" s="131">
        <f t="shared" ref="D22:O22" si="15">D19/D7*100</f>
        <v>1.834862385321101</v>
      </c>
      <c r="E22" s="131">
        <f t="shared" si="15"/>
        <v>2.2670025188916876</v>
      </c>
      <c r="F22" s="131">
        <f t="shared" si="15"/>
        <v>0.94339622641509435</v>
      </c>
      <c r="G22" s="131">
        <f t="shared" si="15"/>
        <v>0.83932853717026379</v>
      </c>
      <c r="H22" s="131">
        <f t="shared" si="15"/>
        <v>1.3037809647979139</v>
      </c>
      <c r="I22" s="131">
        <f t="shared" si="15"/>
        <v>1.7639077340569878</v>
      </c>
      <c r="J22" s="131">
        <f t="shared" si="15"/>
        <v>2.7823240589198037</v>
      </c>
      <c r="K22" s="131">
        <f t="shared" si="15"/>
        <v>1.1065006915629323</v>
      </c>
      <c r="L22" s="131">
        <f t="shared" si="15"/>
        <v>1.1111111111111112</v>
      </c>
      <c r="M22" s="131">
        <f t="shared" si="15"/>
        <v>1.6442451420029895</v>
      </c>
      <c r="N22" s="131">
        <f t="shared" si="15"/>
        <v>1.969057665260197</v>
      </c>
      <c r="O22" s="131">
        <f t="shared" si="15"/>
        <v>1.4854357665080653</v>
      </c>
    </row>
    <row r="23" spans="2:15" x14ac:dyDescent="0.25">
      <c r="B23" s="128" t="s">
        <v>31</v>
      </c>
      <c r="C23" s="126">
        <f t="shared" ref="C23:N23" si="16">C66+C88+C110+C132+C154+C178+C216</f>
        <v>1</v>
      </c>
      <c r="D23" s="126">
        <f t="shared" si="16"/>
        <v>0</v>
      </c>
      <c r="E23" s="126">
        <f t="shared" si="16"/>
        <v>2</v>
      </c>
      <c r="F23" s="126">
        <f t="shared" si="16"/>
        <v>3</v>
      </c>
      <c r="G23" s="126">
        <f t="shared" si="16"/>
        <v>10</v>
      </c>
      <c r="H23" s="126">
        <f t="shared" si="16"/>
        <v>0</v>
      </c>
      <c r="I23" s="126">
        <f t="shared" si="16"/>
        <v>0</v>
      </c>
      <c r="J23" s="126">
        <f t="shared" si="16"/>
        <v>1</v>
      </c>
      <c r="K23" s="126">
        <f t="shared" si="16"/>
        <v>1</v>
      </c>
      <c r="L23" s="126">
        <f t="shared" si="16"/>
        <v>3</v>
      </c>
      <c r="M23" s="126">
        <f t="shared" si="16"/>
        <v>0</v>
      </c>
      <c r="N23" s="126">
        <f t="shared" si="16"/>
        <v>2</v>
      </c>
      <c r="O23" s="126">
        <f>SUM(C23:N23)</f>
        <v>23</v>
      </c>
    </row>
    <row r="24" spans="2:15" x14ac:dyDescent="0.25">
      <c r="B24" s="128" t="s">
        <v>32</v>
      </c>
      <c r="C24" s="131">
        <f>C23*100/C7</f>
        <v>0.15267175572519084</v>
      </c>
      <c r="D24" s="131">
        <f t="shared" ref="D24:K24" si="17">D23*100/D7</f>
        <v>0</v>
      </c>
      <c r="E24" s="131">
        <f t="shared" si="17"/>
        <v>0.25188916876574308</v>
      </c>
      <c r="F24" s="131">
        <f t="shared" si="17"/>
        <v>0.40431266846361186</v>
      </c>
      <c r="G24" s="131">
        <f t="shared" si="17"/>
        <v>1.1990407673860912</v>
      </c>
      <c r="H24" s="131">
        <f t="shared" si="17"/>
        <v>0</v>
      </c>
      <c r="I24" s="131">
        <f t="shared" si="17"/>
        <v>0</v>
      </c>
      <c r="J24" s="131">
        <f t="shared" si="17"/>
        <v>0.16366612111292964</v>
      </c>
      <c r="K24" s="131">
        <f t="shared" si="17"/>
        <v>0.13831258644536654</v>
      </c>
      <c r="L24" s="131">
        <f>L23*100/L7</f>
        <v>0.41666666666666669</v>
      </c>
      <c r="M24" s="131">
        <f>M23*100/M7</f>
        <v>0</v>
      </c>
      <c r="N24" s="131">
        <f>N23*100/N7</f>
        <v>0.28129395218002812</v>
      </c>
      <c r="O24" s="131">
        <f>O23*100/O7</f>
        <v>0.26691423929441799</v>
      </c>
    </row>
    <row r="25" spans="2:15" x14ac:dyDescent="0.25">
      <c r="B25" s="128" t="s">
        <v>33</v>
      </c>
      <c r="C25" s="126">
        <f>+C179</f>
        <v>224</v>
      </c>
      <c r="D25" s="126">
        <f t="shared" ref="D25:N27" si="18">+D179</f>
        <v>237</v>
      </c>
      <c r="E25" s="126">
        <f t="shared" si="18"/>
        <v>246</v>
      </c>
      <c r="F25" s="126">
        <f t="shared" si="18"/>
        <v>236</v>
      </c>
      <c r="G25" s="126">
        <f t="shared" si="18"/>
        <v>278</v>
      </c>
      <c r="H25" s="126">
        <f t="shared" si="18"/>
        <v>241</v>
      </c>
      <c r="I25" s="126">
        <f t="shared" si="18"/>
        <v>277</v>
      </c>
      <c r="J25" s="126">
        <f t="shared" si="18"/>
        <v>240</v>
      </c>
      <c r="K25" s="126">
        <f t="shared" si="18"/>
        <v>241</v>
      </c>
      <c r="L25" s="126">
        <f t="shared" si="18"/>
        <v>251</v>
      </c>
      <c r="M25" s="126">
        <f t="shared" si="18"/>
        <v>225</v>
      </c>
      <c r="N25" s="126">
        <f t="shared" si="18"/>
        <v>239</v>
      </c>
      <c r="O25" s="126">
        <f t="shared" ref="O25:O38" si="19">SUM(C25:N25)</f>
        <v>2935</v>
      </c>
    </row>
    <row r="26" spans="2:15" x14ac:dyDescent="0.25">
      <c r="B26" s="128" t="s">
        <v>34</v>
      </c>
      <c r="C26" s="126">
        <f t="shared" ref="C26:N29" si="20">+C180</f>
        <v>223</v>
      </c>
      <c r="D26" s="126">
        <f t="shared" si="18"/>
        <v>241</v>
      </c>
      <c r="E26" s="126">
        <f t="shared" si="18"/>
        <v>248</v>
      </c>
      <c r="F26" s="126">
        <f t="shared" si="18"/>
        <v>238</v>
      </c>
      <c r="G26" s="126">
        <f t="shared" si="18"/>
        <v>280</v>
      </c>
      <c r="H26" s="126">
        <f t="shared" si="18"/>
        <v>242</v>
      </c>
      <c r="I26" s="126">
        <f t="shared" si="18"/>
        <v>277</v>
      </c>
      <c r="J26" s="126">
        <f t="shared" si="18"/>
        <v>243</v>
      </c>
      <c r="K26" s="126">
        <f t="shared" si="18"/>
        <v>247</v>
      </c>
      <c r="L26" s="126">
        <f t="shared" si="18"/>
        <v>251</v>
      </c>
      <c r="M26" s="126">
        <f t="shared" si="18"/>
        <v>229</v>
      </c>
      <c r="N26" s="126">
        <f t="shared" si="18"/>
        <v>241</v>
      </c>
      <c r="O26" s="126">
        <f t="shared" si="19"/>
        <v>2960</v>
      </c>
    </row>
    <row r="27" spans="2:15" x14ac:dyDescent="0.25">
      <c r="B27" s="128" t="s">
        <v>35</v>
      </c>
      <c r="C27" s="126">
        <f t="shared" si="20"/>
        <v>45</v>
      </c>
      <c r="D27" s="126">
        <f t="shared" si="18"/>
        <v>45</v>
      </c>
      <c r="E27" s="126">
        <f t="shared" si="18"/>
        <v>53</v>
      </c>
      <c r="F27" s="126">
        <f t="shared" si="18"/>
        <v>46</v>
      </c>
      <c r="G27" s="126">
        <f t="shared" si="18"/>
        <v>46</v>
      </c>
      <c r="H27" s="126">
        <f t="shared" si="18"/>
        <v>77</v>
      </c>
      <c r="I27" s="126">
        <f t="shared" si="18"/>
        <v>50</v>
      </c>
      <c r="J27" s="126">
        <f t="shared" si="18"/>
        <v>59</v>
      </c>
      <c r="K27" s="126">
        <f t="shared" si="18"/>
        <v>49</v>
      </c>
      <c r="L27" s="126">
        <f t="shared" si="18"/>
        <v>47</v>
      </c>
      <c r="M27" s="126">
        <f t="shared" si="18"/>
        <v>48</v>
      </c>
      <c r="N27" s="126">
        <f t="shared" si="18"/>
        <v>44</v>
      </c>
      <c r="O27" s="126">
        <f t="shared" si="19"/>
        <v>609</v>
      </c>
    </row>
    <row r="28" spans="2:15" x14ac:dyDescent="0.25">
      <c r="B28" s="128" t="s">
        <v>36</v>
      </c>
      <c r="C28" s="126">
        <f t="shared" si="20"/>
        <v>59</v>
      </c>
      <c r="D28" s="126">
        <f t="shared" si="20"/>
        <v>93</v>
      </c>
      <c r="E28" s="126">
        <f t="shared" si="20"/>
        <v>90</v>
      </c>
      <c r="F28" s="126">
        <f t="shared" si="20"/>
        <v>78</v>
      </c>
      <c r="G28" s="126">
        <f t="shared" si="20"/>
        <v>87</v>
      </c>
      <c r="H28" s="126">
        <f t="shared" si="20"/>
        <v>83</v>
      </c>
      <c r="I28" s="126">
        <f t="shared" si="20"/>
        <v>108</v>
      </c>
      <c r="J28" s="126">
        <f t="shared" si="20"/>
        <v>95</v>
      </c>
      <c r="K28" s="126">
        <f t="shared" si="20"/>
        <v>95</v>
      </c>
      <c r="L28" s="126">
        <f t="shared" si="20"/>
        <v>94</v>
      </c>
      <c r="M28" s="126">
        <f t="shared" si="20"/>
        <v>77</v>
      </c>
      <c r="N28" s="126">
        <f t="shared" si="20"/>
        <v>73</v>
      </c>
      <c r="O28" s="126">
        <f t="shared" si="19"/>
        <v>1032</v>
      </c>
    </row>
    <row r="29" spans="2:15" x14ac:dyDescent="0.25">
      <c r="B29" s="128" t="s">
        <v>37</v>
      </c>
      <c r="C29" s="126">
        <f t="shared" si="20"/>
        <v>40</v>
      </c>
      <c r="D29" s="126">
        <f t="shared" si="20"/>
        <v>40</v>
      </c>
      <c r="E29" s="126">
        <f t="shared" si="20"/>
        <v>49</v>
      </c>
      <c r="F29" s="126">
        <f t="shared" si="20"/>
        <v>45</v>
      </c>
      <c r="G29" s="126">
        <f t="shared" si="20"/>
        <v>45</v>
      </c>
      <c r="H29" s="126">
        <f t="shared" si="20"/>
        <v>67</v>
      </c>
      <c r="I29" s="126">
        <f t="shared" si="20"/>
        <v>45</v>
      </c>
      <c r="J29" s="126">
        <f t="shared" si="20"/>
        <v>56</v>
      </c>
      <c r="K29" s="126">
        <f t="shared" si="20"/>
        <v>48</v>
      </c>
      <c r="L29" s="126">
        <f t="shared" si="20"/>
        <v>44</v>
      </c>
      <c r="M29" s="126">
        <f t="shared" si="20"/>
        <v>46</v>
      </c>
      <c r="N29" s="126">
        <f t="shared" si="20"/>
        <v>42</v>
      </c>
      <c r="O29" s="126">
        <f t="shared" si="19"/>
        <v>567</v>
      </c>
    </row>
    <row r="30" spans="2:15" x14ac:dyDescent="0.25">
      <c r="B30" s="128" t="s">
        <v>81</v>
      </c>
      <c r="C30" s="126">
        <f t="shared" ref="C30:N38" si="21">+C185</f>
        <v>9</v>
      </c>
      <c r="D30" s="126">
        <f t="shared" si="21"/>
        <v>8</v>
      </c>
      <c r="E30" s="126">
        <f t="shared" si="21"/>
        <v>9</v>
      </c>
      <c r="F30" s="126">
        <f t="shared" si="21"/>
        <v>4</v>
      </c>
      <c r="G30" s="126">
        <f t="shared" si="21"/>
        <v>2</v>
      </c>
      <c r="H30" s="126">
        <f t="shared" si="21"/>
        <v>16</v>
      </c>
      <c r="I30" s="126">
        <f t="shared" si="21"/>
        <v>0</v>
      </c>
      <c r="J30" s="126">
        <f t="shared" si="21"/>
        <v>0</v>
      </c>
      <c r="K30" s="126">
        <f t="shared" si="21"/>
        <v>0</v>
      </c>
      <c r="L30" s="126">
        <f t="shared" si="21"/>
        <v>0</v>
      </c>
      <c r="M30" s="126">
        <f t="shared" si="21"/>
        <v>0</v>
      </c>
      <c r="N30" s="126">
        <f t="shared" si="21"/>
        <v>0</v>
      </c>
      <c r="O30" s="126">
        <f t="shared" si="19"/>
        <v>48</v>
      </c>
    </row>
    <row r="31" spans="2:15" x14ac:dyDescent="0.25">
      <c r="B31" s="128" t="s">
        <v>39</v>
      </c>
      <c r="C31" s="126">
        <f t="shared" si="21"/>
        <v>5</v>
      </c>
      <c r="D31" s="126">
        <f t="shared" si="21"/>
        <v>5</v>
      </c>
      <c r="E31" s="126">
        <f t="shared" si="21"/>
        <v>5</v>
      </c>
      <c r="F31" s="126">
        <f t="shared" si="21"/>
        <v>4</v>
      </c>
      <c r="G31" s="126">
        <f t="shared" si="21"/>
        <v>5</v>
      </c>
      <c r="H31" s="126">
        <f t="shared" si="21"/>
        <v>6</v>
      </c>
      <c r="I31" s="126">
        <f t="shared" si="21"/>
        <v>6</v>
      </c>
      <c r="J31" s="126">
        <f t="shared" si="21"/>
        <v>5</v>
      </c>
      <c r="K31" s="126">
        <f t="shared" si="21"/>
        <v>8</v>
      </c>
      <c r="L31" s="126">
        <f t="shared" si="21"/>
        <v>7</v>
      </c>
      <c r="M31" s="126">
        <f t="shared" si="21"/>
        <v>5</v>
      </c>
      <c r="N31" s="126">
        <f t="shared" si="21"/>
        <v>4</v>
      </c>
      <c r="O31" s="126">
        <f t="shared" si="19"/>
        <v>65</v>
      </c>
    </row>
    <row r="32" spans="2:15" x14ac:dyDescent="0.25">
      <c r="B32" s="128" t="s">
        <v>40</v>
      </c>
      <c r="C32" s="126">
        <f t="shared" si="21"/>
        <v>160</v>
      </c>
      <c r="D32" s="126">
        <f t="shared" si="21"/>
        <v>139</v>
      </c>
      <c r="E32" s="126">
        <f t="shared" si="21"/>
        <v>151</v>
      </c>
      <c r="F32" s="126">
        <f t="shared" si="21"/>
        <v>154</v>
      </c>
      <c r="G32" s="126">
        <f t="shared" si="21"/>
        <v>186</v>
      </c>
      <c r="H32" s="126">
        <f t="shared" si="21"/>
        <v>152</v>
      </c>
      <c r="I32" s="126">
        <f t="shared" si="21"/>
        <v>169</v>
      </c>
      <c r="J32" s="126">
        <f t="shared" si="21"/>
        <v>145</v>
      </c>
      <c r="K32" s="126">
        <f t="shared" si="21"/>
        <v>146</v>
      </c>
      <c r="L32" s="126">
        <f t="shared" si="21"/>
        <v>157</v>
      </c>
      <c r="M32" s="126">
        <f t="shared" si="21"/>
        <v>148</v>
      </c>
      <c r="N32" s="126">
        <f t="shared" si="21"/>
        <v>166</v>
      </c>
      <c r="O32" s="126">
        <f t="shared" si="19"/>
        <v>1873</v>
      </c>
    </row>
    <row r="33" spans="2:15" x14ac:dyDescent="0.25">
      <c r="B33" s="128" t="s">
        <v>41</v>
      </c>
      <c r="C33" s="126">
        <f t="shared" si="21"/>
        <v>0</v>
      </c>
      <c r="D33" s="126">
        <f t="shared" si="21"/>
        <v>0</v>
      </c>
      <c r="E33" s="126">
        <f t="shared" si="21"/>
        <v>0</v>
      </c>
      <c r="F33" s="126">
        <f t="shared" si="21"/>
        <v>0</v>
      </c>
      <c r="G33" s="126">
        <f t="shared" si="21"/>
        <v>0</v>
      </c>
      <c r="H33" s="126">
        <f t="shared" si="21"/>
        <v>0</v>
      </c>
      <c r="I33" s="126">
        <f t="shared" si="21"/>
        <v>0</v>
      </c>
      <c r="J33" s="126">
        <f t="shared" si="21"/>
        <v>0</v>
      </c>
      <c r="K33" s="126">
        <f t="shared" si="21"/>
        <v>0</v>
      </c>
      <c r="L33" s="126">
        <f t="shared" si="21"/>
        <v>0</v>
      </c>
      <c r="M33" s="126">
        <f t="shared" si="21"/>
        <v>0</v>
      </c>
      <c r="N33" s="126">
        <f t="shared" si="21"/>
        <v>0</v>
      </c>
      <c r="O33" s="126">
        <f t="shared" si="19"/>
        <v>0</v>
      </c>
    </row>
    <row r="34" spans="2:15" x14ac:dyDescent="0.25">
      <c r="B34" s="128" t="s">
        <v>82</v>
      </c>
      <c r="C34" s="126">
        <f t="shared" si="21"/>
        <v>0</v>
      </c>
      <c r="D34" s="126">
        <f t="shared" si="21"/>
        <v>0</v>
      </c>
      <c r="E34" s="126">
        <f t="shared" si="21"/>
        <v>0</v>
      </c>
      <c r="F34" s="126">
        <f t="shared" si="21"/>
        <v>0</v>
      </c>
      <c r="G34" s="126">
        <f t="shared" si="21"/>
        <v>0</v>
      </c>
      <c r="H34" s="126">
        <f t="shared" si="21"/>
        <v>0</v>
      </c>
      <c r="I34" s="126">
        <f t="shared" si="21"/>
        <v>0</v>
      </c>
      <c r="J34" s="126">
        <f t="shared" si="21"/>
        <v>0</v>
      </c>
      <c r="K34" s="126">
        <f t="shared" si="21"/>
        <v>0</v>
      </c>
      <c r="L34" s="126">
        <f t="shared" si="21"/>
        <v>0</v>
      </c>
      <c r="M34" s="126">
        <f t="shared" si="21"/>
        <v>0</v>
      </c>
      <c r="N34" s="126">
        <f t="shared" si="21"/>
        <v>0</v>
      </c>
      <c r="O34" s="126">
        <f t="shared" si="19"/>
        <v>0</v>
      </c>
    </row>
    <row r="35" spans="2:15" x14ac:dyDescent="0.25">
      <c r="B35" s="128" t="s">
        <v>42</v>
      </c>
      <c r="C35" s="126">
        <f t="shared" si="21"/>
        <v>25</v>
      </c>
      <c r="D35" s="126">
        <f t="shared" si="21"/>
        <v>32</v>
      </c>
      <c r="E35" s="126">
        <f t="shared" si="21"/>
        <v>29</v>
      </c>
      <c r="F35" s="126">
        <f t="shared" si="21"/>
        <v>15</v>
      </c>
      <c r="G35" s="126">
        <f t="shared" si="21"/>
        <v>16</v>
      </c>
      <c r="H35" s="126">
        <f t="shared" si="21"/>
        <v>15</v>
      </c>
      <c r="I35" s="126">
        <f t="shared" si="21"/>
        <v>22</v>
      </c>
      <c r="J35" s="126">
        <f t="shared" si="21"/>
        <v>21</v>
      </c>
      <c r="K35" s="126">
        <f t="shared" si="21"/>
        <v>17</v>
      </c>
      <c r="L35" s="126">
        <f t="shared" si="21"/>
        <v>17</v>
      </c>
      <c r="M35" s="126">
        <f t="shared" si="21"/>
        <v>15</v>
      </c>
      <c r="N35" s="126">
        <f t="shared" si="21"/>
        <v>21</v>
      </c>
      <c r="O35" s="126">
        <f t="shared" si="19"/>
        <v>245</v>
      </c>
    </row>
    <row r="36" spans="2:15" x14ac:dyDescent="0.25">
      <c r="B36" s="128" t="s">
        <v>43</v>
      </c>
      <c r="C36" s="126">
        <f t="shared" si="21"/>
        <v>0</v>
      </c>
      <c r="D36" s="126">
        <f t="shared" si="21"/>
        <v>0</v>
      </c>
      <c r="E36" s="126">
        <f t="shared" si="21"/>
        <v>3</v>
      </c>
      <c r="F36" s="126">
        <f t="shared" si="21"/>
        <v>1</v>
      </c>
      <c r="G36" s="126">
        <f t="shared" si="21"/>
        <v>0</v>
      </c>
      <c r="H36" s="126">
        <f t="shared" si="21"/>
        <v>1</v>
      </c>
      <c r="I36" s="126">
        <f t="shared" si="21"/>
        <v>2</v>
      </c>
      <c r="J36" s="126">
        <f t="shared" si="21"/>
        <v>2</v>
      </c>
      <c r="K36" s="126">
        <f t="shared" si="21"/>
        <v>1</v>
      </c>
      <c r="L36" s="126">
        <f t="shared" si="21"/>
        <v>1</v>
      </c>
      <c r="M36" s="126">
        <f t="shared" si="21"/>
        <v>0</v>
      </c>
      <c r="N36" s="126">
        <f t="shared" si="21"/>
        <v>2</v>
      </c>
      <c r="O36" s="126">
        <f t="shared" si="19"/>
        <v>13</v>
      </c>
    </row>
    <row r="37" spans="2:15" x14ac:dyDescent="0.25">
      <c r="B37" s="128" t="s">
        <v>44</v>
      </c>
      <c r="C37" s="126">
        <f t="shared" si="21"/>
        <v>4</v>
      </c>
      <c r="D37" s="126">
        <f t="shared" si="21"/>
        <v>15</v>
      </c>
      <c r="E37" s="126">
        <f t="shared" si="21"/>
        <v>12</v>
      </c>
      <c r="F37" s="126">
        <f t="shared" si="21"/>
        <v>9</v>
      </c>
      <c r="G37" s="126">
        <f t="shared" si="21"/>
        <v>1</v>
      </c>
      <c r="H37" s="126">
        <f t="shared" si="21"/>
        <v>6</v>
      </c>
      <c r="I37" s="126">
        <f t="shared" si="21"/>
        <v>9</v>
      </c>
      <c r="J37" s="126">
        <f t="shared" si="21"/>
        <v>10</v>
      </c>
      <c r="K37" s="126">
        <f t="shared" si="21"/>
        <v>2</v>
      </c>
      <c r="L37" s="126">
        <f t="shared" si="21"/>
        <v>7</v>
      </c>
      <c r="M37" s="126">
        <f t="shared" si="21"/>
        <v>2</v>
      </c>
      <c r="N37" s="126">
        <f t="shared" si="21"/>
        <v>5</v>
      </c>
      <c r="O37" s="126">
        <f t="shared" si="19"/>
        <v>82</v>
      </c>
    </row>
    <row r="38" spans="2:15" x14ac:dyDescent="0.25">
      <c r="B38" s="128" t="s">
        <v>83</v>
      </c>
      <c r="C38" s="126">
        <f t="shared" si="21"/>
        <v>0</v>
      </c>
      <c r="D38" s="126">
        <f t="shared" si="21"/>
        <v>0</v>
      </c>
      <c r="E38" s="126">
        <f t="shared" si="21"/>
        <v>2</v>
      </c>
      <c r="F38" s="126">
        <f t="shared" si="21"/>
        <v>1</v>
      </c>
      <c r="G38" s="126">
        <f t="shared" si="21"/>
        <v>1</v>
      </c>
      <c r="H38" s="126">
        <f t="shared" si="21"/>
        <v>0</v>
      </c>
      <c r="I38" s="126">
        <f t="shared" si="21"/>
        <v>1</v>
      </c>
      <c r="J38" s="126">
        <f t="shared" si="21"/>
        <v>0</v>
      </c>
      <c r="K38" s="126">
        <f t="shared" si="21"/>
        <v>1</v>
      </c>
      <c r="L38" s="126">
        <f t="shared" si="21"/>
        <v>1</v>
      </c>
      <c r="M38" s="126">
        <f t="shared" si="21"/>
        <v>0</v>
      </c>
      <c r="N38" s="126">
        <f t="shared" si="21"/>
        <v>1</v>
      </c>
      <c r="O38" s="126">
        <f t="shared" si="19"/>
        <v>8</v>
      </c>
    </row>
    <row r="39" spans="2:15" x14ac:dyDescent="0.25">
      <c r="B39" s="137"/>
      <c r="C39" s="138"/>
      <c r="D39" s="138"/>
      <c r="E39" s="138"/>
    </row>
    <row r="40" spans="2:15" x14ac:dyDescent="0.25">
      <c r="B40" s="138" t="s">
        <v>84</v>
      </c>
    </row>
    <row r="41" spans="2:15" x14ac:dyDescent="0.25">
      <c r="B41" s="138" t="s">
        <v>85</v>
      </c>
    </row>
    <row r="42" spans="2:15" x14ac:dyDescent="0.25">
      <c r="B42" s="138" t="s">
        <v>86</v>
      </c>
    </row>
    <row r="43" spans="2:15" x14ac:dyDescent="0.25">
      <c r="B43" s="138" t="s">
        <v>87</v>
      </c>
      <c r="C43" s="138"/>
      <c r="D43" s="138"/>
      <c r="E43" s="138"/>
    </row>
    <row r="45" spans="2:15" ht="15.75" x14ac:dyDescent="0.25">
      <c r="B45" s="190" t="s">
        <v>108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</row>
    <row r="46" spans="2:15" x14ac:dyDescent="0.25">
      <c r="B46" s="184"/>
      <c r="N46" s="139" t="s">
        <v>50</v>
      </c>
    </row>
    <row r="47" spans="2:15" x14ac:dyDescent="0.25">
      <c r="B47" s="184" t="s">
        <v>50</v>
      </c>
      <c r="C47" s="142" t="s">
        <v>1</v>
      </c>
      <c r="D47" s="142" t="s">
        <v>2</v>
      </c>
      <c r="E47" s="142" t="s">
        <v>3</v>
      </c>
      <c r="F47" s="142" t="s">
        <v>4</v>
      </c>
      <c r="G47" s="142" t="s">
        <v>5</v>
      </c>
      <c r="H47" s="142" t="s">
        <v>6</v>
      </c>
      <c r="I47" s="142" t="s">
        <v>7</v>
      </c>
      <c r="J47" s="142" t="s">
        <v>8</v>
      </c>
      <c r="K47" s="143" t="s">
        <v>9</v>
      </c>
      <c r="L47" s="143" t="s">
        <v>10</v>
      </c>
      <c r="M47" s="143" t="s">
        <v>11</v>
      </c>
      <c r="N47" s="143" t="s">
        <v>12</v>
      </c>
      <c r="O47" s="123" t="s">
        <v>13</v>
      </c>
    </row>
    <row r="48" spans="2:15" x14ac:dyDescent="0.25">
      <c r="B48" s="128" t="s">
        <v>14</v>
      </c>
      <c r="C48" s="126">
        <v>40</v>
      </c>
      <c r="D48" s="126">
        <v>40</v>
      </c>
      <c r="E48" s="126">
        <v>40</v>
      </c>
      <c r="F48" s="126">
        <v>40</v>
      </c>
      <c r="G48" s="126">
        <v>40</v>
      </c>
      <c r="H48" s="126">
        <v>40</v>
      </c>
      <c r="I48" s="126">
        <v>40</v>
      </c>
      <c r="J48" s="126">
        <v>40</v>
      </c>
      <c r="K48" s="126">
        <v>40</v>
      </c>
      <c r="L48" s="126">
        <v>40</v>
      </c>
      <c r="M48" s="126">
        <v>40</v>
      </c>
      <c r="N48" s="126">
        <v>40</v>
      </c>
      <c r="O48" s="126">
        <f>SUM(C48:N48)</f>
        <v>480</v>
      </c>
    </row>
    <row r="49" spans="2:15" x14ac:dyDescent="0.25">
      <c r="B49" s="128" t="s">
        <v>15</v>
      </c>
      <c r="C49" s="145">
        <v>101</v>
      </c>
      <c r="D49" s="145">
        <v>87</v>
      </c>
      <c r="E49" s="145">
        <v>108</v>
      </c>
      <c r="F49" s="146">
        <v>84</v>
      </c>
      <c r="G49" s="146">
        <v>89</v>
      </c>
      <c r="H49" s="146">
        <v>85</v>
      </c>
      <c r="I49" s="146">
        <v>101</v>
      </c>
      <c r="J49" s="146">
        <v>91</v>
      </c>
      <c r="K49" s="146">
        <v>74</v>
      </c>
      <c r="L49" s="146">
        <v>90</v>
      </c>
      <c r="M49" s="146">
        <v>74</v>
      </c>
      <c r="N49" s="146">
        <v>93</v>
      </c>
      <c r="O49" s="146">
        <f t="shared" ref="O49:O54" si="22">SUM(C49:N49)</f>
        <v>1077</v>
      </c>
    </row>
    <row r="50" spans="2:15" x14ac:dyDescent="0.25">
      <c r="B50" s="128" t="s">
        <v>16</v>
      </c>
      <c r="C50" s="145">
        <v>89</v>
      </c>
      <c r="D50" s="145">
        <v>78</v>
      </c>
      <c r="E50" s="145">
        <v>110</v>
      </c>
      <c r="F50" s="146">
        <v>84</v>
      </c>
      <c r="G50" s="146">
        <v>89</v>
      </c>
      <c r="H50" s="146">
        <v>79</v>
      </c>
      <c r="I50" s="146">
        <v>101</v>
      </c>
      <c r="J50" s="146">
        <v>89</v>
      </c>
      <c r="K50" s="146">
        <v>76</v>
      </c>
      <c r="L50" s="146">
        <v>87</v>
      </c>
      <c r="M50" s="146">
        <v>69</v>
      </c>
      <c r="N50" s="146">
        <v>100</v>
      </c>
      <c r="O50" s="146">
        <f t="shared" si="22"/>
        <v>1051</v>
      </c>
    </row>
    <row r="51" spans="2:15" x14ac:dyDescent="0.25">
      <c r="B51" s="128" t="s">
        <v>17</v>
      </c>
      <c r="C51" s="145">
        <v>1240</v>
      </c>
      <c r="D51" s="145">
        <v>1120</v>
      </c>
      <c r="E51" s="145">
        <v>1240</v>
      </c>
      <c r="F51" s="146">
        <v>1200</v>
      </c>
      <c r="G51" s="146">
        <v>1240</v>
      </c>
      <c r="H51" s="146">
        <v>1200</v>
      </c>
      <c r="I51" s="146">
        <v>1240</v>
      </c>
      <c r="J51" s="146">
        <f>40*31</f>
        <v>1240</v>
      </c>
      <c r="K51" s="146">
        <v>1200</v>
      </c>
      <c r="L51" s="146">
        <v>1240</v>
      </c>
      <c r="M51" s="146">
        <v>1200</v>
      </c>
      <c r="N51" s="146">
        <f>31*40</f>
        <v>1240</v>
      </c>
      <c r="O51" s="146">
        <f t="shared" si="22"/>
        <v>14600</v>
      </c>
    </row>
    <row r="52" spans="2:15" x14ac:dyDescent="0.25">
      <c r="B52" s="128" t="s">
        <v>18</v>
      </c>
      <c r="C52" s="145">
        <v>401</v>
      </c>
      <c r="D52" s="145">
        <v>359</v>
      </c>
      <c r="E52" s="145">
        <v>539</v>
      </c>
      <c r="F52" s="146">
        <v>368</v>
      </c>
      <c r="G52" s="146">
        <v>368</v>
      </c>
      <c r="H52" s="146">
        <v>413</v>
      </c>
      <c r="I52" s="146">
        <v>435</v>
      </c>
      <c r="J52" s="146">
        <v>505</v>
      </c>
      <c r="K52" s="146">
        <v>381</v>
      </c>
      <c r="L52" s="146">
        <v>531</v>
      </c>
      <c r="M52" s="146">
        <v>375</v>
      </c>
      <c r="N52" s="146">
        <v>519</v>
      </c>
      <c r="O52" s="146">
        <f t="shared" si="22"/>
        <v>5194</v>
      </c>
    </row>
    <row r="53" spans="2:15" x14ac:dyDescent="0.25">
      <c r="B53" s="128" t="s">
        <v>19</v>
      </c>
      <c r="C53" s="145">
        <v>455</v>
      </c>
      <c r="D53" s="145">
        <v>452</v>
      </c>
      <c r="E53" s="145">
        <v>672</v>
      </c>
      <c r="F53" s="146">
        <v>507</v>
      </c>
      <c r="G53" s="146">
        <v>460</v>
      </c>
      <c r="H53" s="146">
        <v>624</v>
      </c>
      <c r="I53" s="146">
        <v>562</v>
      </c>
      <c r="J53" s="146">
        <v>573</v>
      </c>
      <c r="K53" s="146">
        <v>548</v>
      </c>
      <c r="L53" s="146">
        <v>684</v>
      </c>
      <c r="M53" s="146">
        <v>468</v>
      </c>
      <c r="N53" s="146">
        <v>864</v>
      </c>
      <c r="O53" s="146">
        <f t="shared" si="22"/>
        <v>6869</v>
      </c>
    </row>
    <row r="54" spans="2:15" x14ac:dyDescent="0.25">
      <c r="B54" s="128" t="s">
        <v>51</v>
      </c>
      <c r="C54" s="145">
        <f>13+19+19+19+21+19+18+16+19+20+18+23+25+27+27+25+22+18+14+13+16+17+16+15+14+17+18+18+17+18+19</f>
        <v>580</v>
      </c>
      <c r="D54" s="145">
        <f>14+13+13+19+21+23+23+22+23+23+24+29+23+23+25+26+27+28+26+22+21+19+21+20+23+22+24+27</f>
        <v>624</v>
      </c>
      <c r="E54" s="145">
        <f>27+29+28+26+29+28+29+26+24+24+21+24+26+25+26+27+27+26+24+21+23+23+24+24+24+21+27+29+28+22+18</f>
        <v>780</v>
      </c>
      <c r="F54" s="146">
        <f>19+23+21+25+20+21+23+19+19+17+15+14+17+22+21+20+16+15+15+13+15+15+18+21+23+22+17+14+13+18</f>
        <v>551</v>
      </c>
      <c r="G54" s="145">
        <f>15+14+15+15+16+18+14+18+19+15+15+18+15+17+18+16+13+15+17+19+19+20+15+15+15+14+11+14+15+14</f>
        <v>474</v>
      </c>
      <c r="H54" s="146">
        <v>551</v>
      </c>
      <c r="I54" s="146">
        <v>555</v>
      </c>
      <c r="J54" s="146">
        <v>716</v>
      </c>
      <c r="K54" s="146">
        <v>651</v>
      </c>
      <c r="L54" s="146">
        <v>841</v>
      </c>
      <c r="M54" s="146">
        <v>757</v>
      </c>
      <c r="N54" s="146">
        <v>823</v>
      </c>
      <c r="O54" s="146">
        <f t="shared" si="22"/>
        <v>7903</v>
      </c>
    </row>
    <row r="55" spans="2:15" x14ac:dyDescent="0.25">
      <c r="B55" s="128" t="s">
        <v>74</v>
      </c>
      <c r="C55" s="149">
        <f t="shared" ref="C55:O55" si="23">C52/C50</f>
        <v>4.5056179775280896</v>
      </c>
      <c r="D55" s="149">
        <f t="shared" si="23"/>
        <v>4.6025641025641022</v>
      </c>
      <c r="E55" s="149">
        <f t="shared" si="23"/>
        <v>4.9000000000000004</v>
      </c>
      <c r="F55" s="150">
        <f t="shared" si="23"/>
        <v>4.3809523809523814</v>
      </c>
      <c r="G55" s="150">
        <f t="shared" si="23"/>
        <v>4.1348314606741576</v>
      </c>
      <c r="H55" s="150">
        <f t="shared" si="23"/>
        <v>5.2278481012658231</v>
      </c>
      <c r="I55" s="150">
        <f t="shared" si="23"/>
        <v>4.3069306930693072</v>
      </c>
      <c r="J55" s="150">
        <f t="shared" si="23"/>
        <v>5.6741573033707864</v>
      </c>
      <c r="K55" s="150">
        <f t="shared" si="23"/>
        <v>5.0131578947368425</v>
      </c>
      <c r="L55" s="150">
        <f t="shared" si="23"/>
        <v>6.1034482758620694</v>
      </c>
      <c r="M55" s="150">
        <f t="shared" si="23"/>
        <v>5.4347826086956523</v>
      </c>
      <c r="N55" s="150">
        <f t="shared" si="23"/>
        <v>5.19</v>
      </c>
      <c r="O55" s="150">
        <f t="shared" si="23"/>
        <v>4.9419600380589914</v>
      </c>
    </row>
    <row r="56" spans="2:15" x14ac:dyDescent="0.25">
      <c r="B56" s="128" t="s">
        <v>75</v>
      </c>
      <c r="C56" s="149">
        <f t="shared" ref="C56:N56" si="24">C53/C50</f>
        <v>5.1123595505617976</v>
      </c>
      <c r="D56" s="149">
        <f t="shared" si="24"/>
        <v>5.7948717948717947</v>
      </c>
      <c r="E56" s="149">
        <f t="shared" si="24"/>
        <v>6.1090909090909093</v>
      </c>
      <c r="F56" s="150">
        <f t="shared" si="24"/>
        <v>6.0357142857142856</v>
      </c>
      <c r="G56" s="150">
        <f t="shared" si="24"/>
        <v>5.1685393258426968</v>
      </c>
      <c r="H56" s="150">
        <f t="shared" si="24"/>
        <v>7.8987341772151902</v>
      </c>
      <c r="I56" s="150">
        <f t="shared" si="24"/>
        <v>5.564356435643564</v>
      </c>
      <c r="J56" s="150">
        <f t="shared" si="24"/>
        <v>6.4382022471910112</v>
      </c>
      <c r="K56" s="150">
        <f t="shared" si="24"/>
        <v>7.2105263157894735</v>
      </c>
      <c r="L56" s="150">
        <f t="shared" si="24"/>
        <v>7.8620689655172411</v>
      </c>
      <c r="M56" s="150">
        <f t="shared" si="24"/>
        <v>6.7826086956521738</v>
      </c>
      <c r="N56" s="150">
        <f t="shared" si="24"/>
        <v>8.64</v>
      </c>
      <c r="O56" s="150">
        <f>O53/O50</f>
        <v>6.5356803044719314</v>
      </c>
    </row>
    <row r="57" spans="2:15" x14ac:dyDescent="0.25">
      <c r="B57" s="128" t="s">
        <v>72</v>
      </c>
      <c r="C57" s="149">
        <f>C53/C51*100</f>
        <v>36.693548387096776</v>
      </c>
      <c r="D57" s="149">
        <f t="shared" ref="D57:K57" si="25">D53/D51*100</f>
        <v>40.357142857142861</v>
      </c>
      <c r="E57" s="149">
        <f t="shared" si="25"/>
        <v>54.193548387096783</v>
      </c>
      <c r="F57" s="149">
        <f t="shared" si="25"/>
        <v>42.25</v>
      </c>
      <c r="G57" s="149">
        <f t="shared" si="25"/>
        <v>37.096774193548384</v>
      </c>
      <c r="H57" s="149">
        <f t="shared" si="25"/>
        <v>52</v>
      </c>
      <c r="I57" s="149">
        <f t="shared" si="25"/>
        <v>45.322580645161295</v>
      </c>
      <c r="J57" s="149">
        <f t="shared" si="25"/>
        <v>46.20967741935484</v>
      </c>
      <c r="K57" s="149">
        <f t="shared" si="25"/>
        <v>45.666666666666664</v>
      </c>
      <c r="L57" s="150">
        <f>L52/L51*100</f>
        <v>42.822580645161288</v>
      </c>
      <c r="M57" s="150">
        <f>M52/M51*100</f>
        <v>31.25</v>
      </c>
      <c r="N57" s="150">
        <f>N52/N51*100</f>
        <v>41.854838709677416</v>
      </c>
      <c r="O57" s="150">
        <f>O52/O51*100</f>
        <v>35.575342465753423</v>
      </c>
    </row>
    <row r="58" spans="2:15" x14ac:dyDescent="0.25">
      <c r="B58" s="128" t="s">
        <v>77</v>
      </c>
      <c r="C58" s="149">
        <f>C50/C48</f>
        <v>2.2250000000000001</v>
      </c>
      <c r="D58" s="149">
        <f t="shared" ref="D58:O58" si="26">D50/D48</f>
        <v>1.95</v>
      </c>
      <c r="E58" s="149">
        <f t="shared" si="26"/>
        <v>2.75</v>
      </c>
      <c r="F58" s="150">
        <f t="shared" si="26"/>
        <v>2.1</v>
      </c>
      <c r="G58" s="150">
        <f t="shared" si="26"/>
        <v>2.2250000000000001</v>
      </c>
      <c r="H58" s="150">
        <f t="shared" si="26"/>
        <v>1.9750000000000001</v>
      </c>
      <c r="I58" s="150">
        <f t="shared" si="26"/>
        <v>2.5249999999999999</v>
      </c>
      <c r="J58" s="150">
        <f t="shared" si="26"/>
        <v>2.2250000000000001</v>
      </c>
      <c r="K58" s="150">
        <f t="shared" si="26"/>
        <v>1.9</v>
      </c>
      <c r="L58" s="150">
        <f t="shared" si="26"/>
        <v>2.1749999999999998</v>
      </c>
      <c r="M58" s="150">
        <f t="shared" si="26"/>
        <v>1.7250000000000001</v>
      </c>
      <c r="N58" s="150">
        <f t="shared" si="26"/>
        <v>2.5</v>
      </c>
      <c r="O58" s="150">
        <f t="shared" si="26"/>
        <v>2.1895833333333332</v>
      </c>
    </row>
    <row r="59" spans="2:15" x14ac:dyDescent="0.25">
      <c r="B59" s="128" t="s">
        <v>24</v>
      </c>
      <c r="C59" s="149">
        <v>9.43</v>
      </c>
      <c r="D59" s="149">
        <v>9.76</v>
      </c>
      <c r="E59" s="149">
        <v>6.37</v>
      </c>
      <c r="F59" s="150">
        <v>9.9</v>
      </c>
      <c r="G59" s="150">
        <v>9.8000000000000007</v>
      </c>
      <c r="H59" s="150">
        <v>9.9600000000000009</v>
      </c>
      <c r="I59" s="150">
        <f t="shared" ref="I59:O59" si="27">(I51-I52)/I50</f>
        <v>7.9702970297029703</v>
      </c>
      <c r="J59" s="150">
        <f t="shared" si="27"/>
        <v>8.2584269662921344</v>
      </c>
      <c r="K59" s="150">
        <f t="shared" si="27"/>
        <v>10.776315789473685</v>
      </c>
      <c r="L59" s="150">
        <f t="shared" si="27"/>
        <v>8.1494252873563227</v>
      </c>
      <c r="M59" s="150">
        <f t="shared" si="27"/>
        <v>11.956521739130435</v>
      </c>
      <c r="N59" s="150">
        <f t="shared" si="27"/>
        <v>7.21</v>
      </c>
      <c r="O59" s="150">
        <f t="shared" si="27"/>
        <v>8.9495718363463368</v>
      </c>
    </row>
    <row r="60" spans="2:15" x14ac:dyDescent="0.25">
      <c r="B60" s="128" t="s">
        <v>89</v>
      </c>
      <c r="C60" s="149">
        <f>C54/C51*100</f>
        <v>46.774193548387096</v>
      </c>
      <c r="D60" s="149">
        <f t="shared" ref="D60:O60" si="28">D54/D51*100</f>
        <v>55.714285714285715</v>
      </c>
      <c r="E60" s="149">
        <f t="shared" si="28"/>
        <v>62.903225806451616</v>
      </c>
      <c r="F60" s="150">
        <f t="shared" si="28"/>
        <v>45.916666666666664</v>
      </c>
      <c r="G60" s="150">
        <f t="shared" si="28"/>
        <v>38.225806451612904</v>
      </c>
      <c r="H60" s="150">
        <f t="shared" si="28"/>
        <v>45.916666666666664</v>
      </c>
      <c r="I60" s="150">
        <f t="shared" si="28"/>
        <v>44.758064516129032</v>
      </c>
      <c r="J60" s="150">
        <f t="shared" si="28"/>
        <v>57.741935483870968</v>
      </c>
      <c r="K60" s="150">
        <f t="shared" si="28"/>
        <v>54.25</v>
      </c>
      <c r="L60" s="150">
        <f t="shared" si="28"/>
        <v>67.822580645161295</v>
      </c>
      <c r="M60" s="150">
        <f t="shared" si="28"/>
        <v>63.083333333333336</v>
      </c>
      <c r="N60" s="150">
        <f t="shared" si="28"/>
        <v>66.370967741935488</v>
      </c>
      <c r="O60" s="150">
        <f t="shared" si="28"/>
        <v>54.130136986301366</v>
      </c>
    </row>
    <row r="61" spans="2:15" x14ac:dyDescent="0.25">
      <c r="B61" s="128" t="s">
        <v>26</v>
      </c>
      <c r="C61" s="145">
        <v>3</v>
      </c>
      <c r="D61" s="145">
        <v>11</v>
      </c>
      <c r="E61" s="145">
        <v>13</v>
      </c>
      <c r="F61" s="146">
        <v>10</v>
      </c>
      <c r="G61" s="146">
        <v>7</v>
      </c>
      <c r="H61" s="146">
        <v>8</v>
      </c>
      <c r="I61" s="146">
        <v>7</v>
      </c>
      <c r="J61" s="146">
        <f>SUM(J62:J63)</f>
        <v>11</v>
      </c>
      <c r="K61" s="146">
        <f>SUM(K62:K63)</f>
        <v>4</v>
      </c>
      <c r="L61" s="146">
        <f>SUM(L62:L63)</f>
        <v>2</v>
      </c>
      <c r="M61" s="146">
        <f>SUM(M62:M63)</f>
        <v>8</v>
      </c>
      <c r="N61" s="146">
        <f>SUM(N62:N63)</f>
        <v>10</v>
      </c>
      <c r="O61" s="146">
        <f>SUM(C61:N61)</f>
        <v>94</v>
      </c>
    </row>
    <row r="62" spans="2:15" x14ac:dyDescent="0.25">
      <c r="B62" s="128" t="s">
        <v>52</v>
      </c>
      <c r="C62" s="145">
        <v>3</v>
      </c>
      <c r="D62" s="145">
        <v>8</v>
      </c>
      <c r="E62" s="145">
        <v>9</v>
      </c>
      <c r="F62" s="146">
        <v>7</v>
      </c>
      <c r="G62" s="146">
        <v>4</v>
      </c>
      <c r="H62" s="146">
        <v>6</v>
      </c>
      <c r="I62" s="146">
        <v>5</v>
      </c>
      <c r="J62" s="146">
        <v>9</v>
      </c>
      <c r="K62" s="146">
        <v>3</v>
      </c>
      <c r="L62" s="146">
        <v>2</v>
      </c>
      <c r="M62" s="146">
        <v>7</v>
      </c>
      <c r="N62" s="146">
        <v>7</v>
      </c>
      <c r="O62" s="146">
        <f>SUM(C62:N62)</f>
        <v>70</v>
      </c>
    </row>
    <row r="63" spans="2:15" x14ac:dyDescent="0.25">
      <c r="B63" s="128" t="s">
        <v>53</v>
      </c>
      <c r="C63" s="145">
        <v>0</v>
      </c>
      <c r="D63" s="145">
        <v>0</v>
      </c>
      <c r="E63" s="145">
        <v>4</v>
      </c>
      <c r="F63" s="146">
        <v>3</v>
      </c>
      <c r="G63" s="146">
        <v>3</v>
      </c>
      <c r="H63" s="146">
        <v>2</v>
      </c>
      <c r="I63" s="146">
        <v>2</v>
      </c>
      <c r="J63" s="146">
        <v>2</v>
      </c>
      <c r="K63" s="146">
        <v>1</v>
      </c>
      <c r="L63" s="146">
        <v>0</v>
      </c>
      <c r="M63" s="146">
        <v>1</v>
      </c>
      <c r="N63" s="146">
        <v>3</v>
      </c>
      <c r="O63" s="146">
        <f>SUM(C63:N63)</f>
        <v>21</v>
      </c>
    </row>
    <row r="64" spans="2:15" x14ac:dyDescent="0.25">
      <c r="B64" s="128" t="s">
        <v>29</v>
      </c>
      <c r="C64" s="131">
        <f>C61/C50*100</f>
        <v>3.3707865168539324</v>
      </c>
      <c r="D64" s="131">
        <f t="shared" ref="D64:O64" si="29">D61/D50*100</f>
        <v>14.102564102564102</v>
      </c>
      <c r="E64" s="131">
        <f t="shared" si="29"/>
        <v>11.818181818181818</v>
      </c>
      <c r="F64" s="150">
        <f t="shared" si="29"/>
        <v>11.904761904761903</v>
      </c>
      <c r="G64" s="150">
        <f t="shared" si="29"/>
        <v>7.8651685393258424</v>
      </c>
      <c r="H64" s="150">
        <f t="shared" si="29"/>
        <v>10.126582278481013</v>
      </c>
      <c r="I64" s="150">
        <f t="shared" si="29"/>
        <v>6.9306930693069315</v>
      </c>
      <c r="J64" s="150">
        <f t="shared" si="29"/>
        <v>12.359550561797752</v>
      </c>
      <c r="K64" s="150">
        <f t="shared" si="29"/>
        <v>5.2631578947368416</v>
      </c>
      <c r="L64" s="150">
        <f t="shared" si="29"/>
        <v>2.2988505747126435</v>
      </c>
      <c r="M64" s="150">
        <f t="shared" si="29"/>
        <v>11.594202898550725</v>
      </c>
      <c r="N64" s="150">
        <f t="shared" si="29"/>
        <v>10</v>
      </c>
      <c r="O64" s="150">
        <f t="shared" si="29"/>
        <v>8.943862987630828</v>
      </c>
    </row>
    <row r="65" spans="2:15" x14ac:dyDescent="0.25">
      <c r="B65" s="128" t="s">
        <v>30</v>
      </c>
      <c r="C65" s="131">
        <f>C62/C50*100</f>
        <v>3.3707865168539324</v>
      </c>
      <c r="D65" s="131">
        <f t="shared" ref="D65:O65" si="30">D62/D50*100</f>
        <v>10.256410256410255</v>
      </c>
      <c r="E65" s="131">
        <f t="shared" si="30"/>
        <v>8.1818181818181817</v>
      </c>
      <c r="F65" s="150">
        <f t="shared" si="30"/>
        <v>8.3333333333333321</v>
      </c>
      <c r="G65" s="150">
        <f t="shared" si="30"/>
        <v>4.4943820224719104</v>
      </c>
      <c r="H65" s="150">
        <f t="shared" si="30"/>
        <v>7.59493670886076</v>
      </c>
      <c r="I65" s="150">
        <f t="shared" si="30"/>
        <v>4.9504950495049505</v>
      </c>
      <c r="J65" s="150">
        <f t="shared" si="30"/>
        <v>10.112359550561797</v>
      </c>
      <c r="K65" s="150">
        <f t="shared" si="30"/>
        <v>3.9473684210526314</v>
      </c>
      <c r="L65" s="150">
        <f t="shared" si="30"/>
        <v>2.2988505747126435</v>
      </c>
      <c r="M65" s="150">
        <f t="shared" si="30"/>
        <v>10.144927536231885</v>
      </c>
      <c r="N65" s="150">
        <f t="shared" si="30"/>
        <v>7.0000000000000009</v>
      </c>
      <c r="O65" s="150">
        <f t="shared" si="30"/>
        <v>6.6603235014272126</v>
      </c>
    </row>
    <row r="66" spans="2:15" x14ac:dyDescent="0.25">
      <c r="B66" s="128" t="s">
        <v>31</v>
      </c>
      <c r="C66" s="126">
        <v>0</v>
      </c>
      <c r="D66" s="126">
        <v>0</v>
      </c>
      <c r="E66" s="126">
        <v>1</v>
      </c>
      <c r="F66" s="146">
        <v>0</v>
      </c>
      <c r="G66" s="146">
        <v>0</v>
      </c>
      <c r="H66" s="146">
        <v>0</v>
      </c>
      <c r="I66" s="146">
        <v>0</v>
      </c>
      <c r="J66" s="146">
        <v>0</v>
      </c>
      <c r="K66" s="146">
        <v>0</v>
      </c>
      <c r="L66" s="146">
        <v>0</v>
      </c>
      <c r="M66" s="146">
        <v>0</v>
      </c>
      <c r="N66" s="146">
        <v>0</v>
      </c>
      <c r="O66" s="146">
        <f>SUM(C66:N66)</f>
        <v>1</v>
      </c>
    </row>
    <row r="67" spans="2:15" x14ac:dyDescent="0.25">
      <c r="B67" s="137"/>
      <c r="C67" s="153"/>
      <c r="D67" s="153"/>
      <c r="E67" s="153"/>
      <c r="F67" s="153"/>
      <c r="G67" s="153"/>
      <c r="H67" s="153"/>
      <c r="I67" s="154"/>
      <c r="J67" s="153"/>
      <c r="K67" s="153"/>
      <c r="L67" s="153"/>
      <c r="M67" s="153"/>
      <c r="N67" s="153"/>
      <c r="O67" s="153"/>
    </row>
    <row r="68" spans="2:15" x14ac:dyDescent="0.25">
      <c r="B68" s="138"/>
    </row>
    <row r="69" spans="2:15" ht="15.75" x14ac:dyDescent="0.25">
      <c r="C69" s="190" t="s">
        <v>109</v>
      </c>
      <c r="D69" s="190"/>
      <c r="E69" s="190"/>
      <c r="F69" s="190"/>
      <c r="G69" s="190"/>
      <c r="H69" s="190"/>
      <c r="I69" s="190"/>
      <c r="J69" s="190"/>
      <c r="K69" s="190"/>
      <c r="L69" s="190"/>
      <c r="N69" s="139" t="s">
        <v>54</v>
      </c>
    </row>
    <row r="70" spans="2:15" x14ac:dyDescent="0.25">
      <c r="B70" s="139" t="s">
        <v>54</v>
      </c>
    </row>
    <row r="71" spans="2:15" x14ac:dyDescent="0.25">
      <c r="C71" s="123" t="s">
        <v>1</v>
      </c>
      <c r="D71" s="123" t="s">
        <v>2</v>
      </c>
      <c r="E71" s="123" t="s">
        <v>3</v>
      </c>
      <c r="F71" s="123" t="s">
        <v>4</v>
      </c>
      <c r="G71" s="123" t="s">
        <v>5</v>
      </c>
      <c r="H71" s="123" t="s">
        <v>6</v>
      </c>
      <c r="I71" s="123" t="s">
        <v>7</v>
      </c>
      <c r="J71" s="123" t="s">
        <v>8</v>
      </c>
      <c r="K71" s="123" t="s">
        <v>9</v>
      </c>
      <c r="L71" s="123" t="s">
        <v>10</v>
      </c>
      <c r="M71" s="123" t="s">
        <v>11</v>
      </c>
      <c r="N71" s="123" t="s">
        <v>12</v>
      </c>
      <c r="O71" s="123" t="s">
        <v>13</v>
      </c>
    </row>
    <row r="72" spans="2:15" x14ac:dyDescent="0.25">
      <c r="B72" s="128" t="s">
        <v>14</v>
      </c>
      <c r="C72" s="126">
        <v>40</v>
      </c>
      <c r="D72" s="126">
        <v>40</v>
      </c>
      <c r="E72" s="126">
        <v>40</v>
      </c>
      <c r="F72" s="126">
        <v>40</v>
      </c>
      <c r="G72" s="126">
        <v>40</v>
      </c>
      <c r="H72" s="126">
        <v>40</v>
      </c>
      <c r="I72" s="126">
        <v>40</v>
      </c>
      <c r="J72" s="126">
        <v>40</v>
      </c>
      <c r="K72" s="126">
        <v>40</v>
      </c>
      <c r="L72" s="126">
        <v>40</v>
      </c>
      <c r="M72" s="126">
        <v>40</v>
      </c>
      <c r="N72" s="126">
        <v>40</v>
      </c>
      <c r="O72" s="126">
        <f>SUM(C72:N72)</f>
        <v>480</v>
      </c>
    </row>
    <row r="73" spans="2:15" x14ac:dyDescent="0.25">
      <c r="B73" s="128" t="s">
        <v>15</v>
      </c>
      <c r="C73" s="126">
        <v>87</v>
      </c>
      <c r="D73" s="126">
        <v>89</v>
      </c>
      <c r="E73" s="126">
        <v>136</v>
      </c>
      <c r="F73" s="126">
        <v>147</v>
      </c>
      <c r="G73" s="126">
        <v>135</v>
      </c>
      <c r="H73" s="126">
        <v>134</v>
      </c>
      <c r="I73" s="126">
        <v>111</v>
      </c>
      <c r="J73" s="126">
        <v>88</v>
      </c>
      <c r="K73" s="126">
        <v>113</v>
      </c>
      <c r="L73" s="126">
        <v>139</v>
      </c>
      <c r="M73" s="126">
        <v>147</v>
      </c>
      <c r="N73" s="126">
        <v>115</v>
      </c>
      <c r="O73" s="126">
        <f t="shared" ref="O73:O78" si="31">SUM(C73:N73)</f>
        <v>1441</v>
      </c>
    </row>
    <row r="74" spans="2:15" x14ac:dyDescent="0.25">
      <c r="B74" s="128" t="s">
        <v>16</v>
      </c>
      <c r="C74" s="126">
        <v>88</v>
      </c>
      <c r="D74" s="126">
        <v>83</v>
      </c>
      <c r="E74" s="126">
        <v>132</v>
      </c>
      <c r="F74" s="126">
        <v>134</v>
      </c>
      <c r="G74" s="126">
        <v>146</v>
      </c>
      <c r="H74" s="126">
        <v>124</v>
      </c>
      <c r="I74" s="126">
        <v>127</v>
      </c>
      <c r="J74" s="126">
        <v>81</v>
      </c>
      <c r="K74" s="126">
        <v>116</v>
      </c>
      <c r="L74" s="126">
        <v>130</v>
      </c>
      <c r="M74" s="126">
        <v>137</v>
      </c>
      <c r="N74" s="126">
        <v>132</v>
      </c>
      <c r="O74" s="126">
        <f t="shared" si="31"/>
        <v>1430</v>
      </c>
    </row>
    <row r="75" spans="2:15" x14ac:dyDescent="0.25">
      <c r="B75" s="128" t="s">
        <v>17</v>
      </c>
      <c r="C75" s="126">
        <v>1240</v>
      </c>
      <c r="D75" s="126">
        <v>1120</v>
      </c>
      <c r="E75" s="126">
        <v>1240</v>
      </c>
      <c r="F75" s="126">
        <v>1200</v>
      </c>
      <c r="G75" s="126">
        <v>1240</v>
      </c>
      <c r="H75" s="126">
        <v>1200</v>
      </c>
      <c r="I75" s="126">
        <v>1240</v>
      </c>
      <c r="J75" s="126">
        <f>40*31</f>
        <v>1240</v>
      </c>
      <c r="K75" s="126">
        <v>1200</v>
      </c>
      <c r="L75" s="126">
        <v>1240</v>
      </c>
      <c r="M75" s="126">
        <v>1200</v>
      </c>
      <c r="N75" s="126">
        <v>1240</v>
      </c>
      <c r="O75" s="126">
        <f t="shared" si="31"/>
        <v>14600</v>
      </c>
    </row>
    <row r="76" spans="2:15" x14ac:dyDescent="0.25">
      <c r="B76" s="128" t="s">
        <v>18</v>
      </c>
      <c r="C76" s="126">
        <v>445</v>
      </c>
      <c r="D76" s="126">
        <v>330</v>
      </c>
      <c r="E76" s="126">
        <v>586</v>
      </c>
      <c r="F76" s="126">
        <v>517</v>
      </c>
      <c r="G76" s="126">
        <v>701</v>
      </c>
      <c r="H76" s="126">
        <v>574</v>
      </c>
      <c r="I76" s="126">
        <v>610</v>
      </c>
      <c r="J76" s="126">
        <v>329</v>
      </c>
      <c r="K76" s="126">
        <v>576</v>
      </c>
      <c r="L76" s="126">
        <v>626</v>
      </c>
      <c r="M76" s="126">
        <v>529</v>
      </c>
      <c r="N76" s="126">
        <v>653</v>
      </c>
      <c r="O76" s="126">
        <f t="shared" si="31"/>
        <v>6476</v>
      </c>
    </row>
    <row r="77" spans="2:15" x14ac:dyDescent="0.25">
      <c r="B77" s="128" t="s">
        <v>19</v>
      </c>
      <c r="C77" s="126">
        <v>505</v>
      </c>
      <c r="D77" s="126">
        <v>391</v>
      </c>
      <c r="E77" s="126">
        <v>757</v>
      </c>
      <c r="F77" s="126">
        <v>858</v>
      </c>
      <c r="G77" s="126">
        <v>1079</v>
      </c>
      <c r="H77" s="126">
        <v>719</v>
      </c>
      <c r="I77" s="126">
        <v>725</v>
      </c>
      <c r="J77" s="126">
        <v>381</v>
      </c>
      <c r="K77" s="126">
        <v>673</v>
      </c>
      <c r="L77" s="126">
        <v>743</v>
      </c>
      <c r="M77" s="126">
        <v>732</v>
      </c>
      <c r="N77" s="126">
        <v>953</v>
      </c>
      <c r="O77" s="126">
        <f t="shared" si="31"/>
        <v>8516</v>
      </c>
    </row>
    <row r="78" spans="2:15" x14ac:dyDescent="0.25">
      <c r="B78" s="156" t="s">
        <v>91</v>
      </c>
      <c r="C78" s="126">
        <f>22+23+19+21+22+20+23+29+28+27+23+25+21+25+23+23+20+20+18+18+19+18+15+16+16+17+17+18+21+20+19</f>
        <v>646</v>
      </c>
      <c r="D78" s="126">
        <f>20+22+15+12+14+14+16+16+14+12+15+17+20+20+20+20+19+18+19+24+25+24+23+27+27+23+25+26</f>
        <v>547</v>
      </c>
      <c r="E78" s="126">
        <f>28+27+32+38+36+30+27+27+24+25+30+30+31+30+22+22+22+24+28+30+28+24+25+23+27+28+23+18+18+22+24</f>
        <v>823</v>
      </c>
      <c r="F78" s="126">
        <f>29+31+34+29+26+17+18+24+25+29+22+26+27+22+28+29+28+26+32+27+25+24+29+30+26+27+26+24+28</f>
        <v>768</v>
      </c>
      <c r="G78" s="126">
        <f>23+19+18+22+23+22+24+22+19+18+24+25+26+29+30+26+23+24+24+25+28+29+29+24+21+24+27+28+29+22+19</f>
        <v>746</v>
      </c>
      <c r="H78" s="126">
        <v>633</v>
      </c>
      <c r="I78" s="126">
        <v>578</v>
      </c>
      <c r="J78" s="126">
        <v>370</v>
      </c>
      <c r="K78" s="126">
        <v>646</v>
      </c>
      <c r="L78" s="126">
        <v>781</v>
      </c>
      <c r="M78" s="126">
        <v>779</v>
      </c>
      <c r="N78" s="126">
        <v>796</v>
      </c>
      <c r="O78" s="126">
        <f t="shared" si="31"/>
        <v>8113</v>
      </c>
    </row>
    <row r="79" spans="2:15" x14ac:dyDescent="0.25">
      <c r="B79" s="128" t="s">
        <v>74</v>
      </c>
      <c r="C79" s="131">
        <f t="shared" ref="C79:N79" si="32">C76/C74</f>
        <v>5.0568181818181817</v>
      </c>
      <c r="D79" s="131">
        <f t="shared" si="32"/>
        <v>3.9759036144578315</v>
      </c>
      <c r="E79" s="131">
        <f t="shared" si="32"/>
        <v>4.4393939393939394</v>
      </c>
      <c r="F79" s="131">
        <f t="shared" si="32"/>
        <v>3.8582089552238807</v>
      </c>
      <c r="G79" s="131">
        <f t="shared" si="32"/>
        <v>4.8013698630136989</v>
      </c>
      <c r="H79" s="131">
        <f t="shared" si="32"/>
        <v>4.629032258064516</v>
      </c>
      <c r="I79" s="131">
        <f t="shared" si="32"/>
        <v>4.8031496062992129</v>
      </c>
      <c r="J79" s="131">
        <f t="shared" si="32"/>
        <v>4.0617283950617287</v>
      </c>
      <c r="K79" s="131">
        <f t="shared" si="32"/>
        <v>4.9655172413793105</v>
      </c>
      <c r="L79" s="131">
        <f t="shared" si="32"/>
        <v>4.8153846153846152</v>
      </c>
      <c r="M79" s="131">
        <f t="shared" si="32"/>
        <v>3.8613138686131387</v>
      </c>
      <c r="N79" s="131">
        <f t="shared" si="32"/>
        <v>4.9469696969696972</v>
      </c>
      <c r="O79" s="131">
        <f>O76/O74</f>
        <v>4.5286713286713285</v>
      </c>
    </row>
    <row r="80" spans="2:15" x14ac:dyDescent="0.25">
      <c r="B80" s="128" t="s">
        <v>75</v>
      </c>
      <c r="C80" s="131">
        <f t="shared" ref="C80:N80" si="33">C77/C74</f>
        <v>5.7386363636363633</v>
      </c>
      <c r="D80" s="131">
        <f t="shared" si="33"/>
        <v>4.7108433734939759</v>
      </c>
      <c r="E80" s="131">
        <f t="shared" si="33"/>
        <v>5.7348484848484844</v>
      </c>
      <c r="F80" s="131">
        <f t="shared" si="33"/>
        <v>6.4029850746268657</v>
      </c>
      <c r="G80" s="131">
        <f t="shared" si="33"/>
        <v>7.3904109589041092</v>
      </c>
      <c r="H80" s="131">
        <f t="shared" si="33"/>
        <v>5.7983870967741939</v>
      </c>
      <c r="I80" s="131">
        <f t="shared" si="33"/>
        <v>5.7086614173228343</v>
      </c>
      <c r="J80" s="131">
        <f t="shared" si="33"/>
        <v>4.7037037037037033</v>
      </c>
      <c r="K80" s="131">
        <f t="shared" si="33"/>
        <v>5.8017241379310347</v>
      </c>
      <c r="L80" s="131">
        <f t="shared" si="33"/>
        <v>5.7153846153846155</v>
      </c>
      <c r="M80" s="131">
        <f t="shared" si="33"/>
        <v>5.3430656934306571</v>
      </c>
      <c r="N80" s="131">
        <f t="shared" si="33"/>
        <v>7.2196969696969697</v>
      </c>
      <c r="O80" s="131">
        <f>O77/O74</f>
        <v>5.9552447552447552</v>
      </c>
    </row>
    <row r="81" spans="2:15" x14ac:dyDescent="0.25">
      <c r="B81" s="128" t="s">
        <v>76</v>
      </c>
      <c r="C81" s="131">
        <f t="shared" ref="C81:O81" si="34">C76/C75*100</f>
        <v>35.887096774193552</v>
      </c>
      <c r="D81" s="131">
        <f t="shared" si="34"/>
        <v>29.464285714285715</v>
      </c>
      <c r="E81" s="131">
        <f t="shared" si="34"/>
        <v>47.258064516129032</v>
      </c>
      <c r="F81" s="131">
        <f t="shared" si="34"/>
        <v>43.083333333333336</v>
      </c>
      <c r="G81" s="131">
        <f t="shared" si="34"/>
        <v>56.532258064516128</v>
      </c>
      <c r="H81" s="131">
        <f t="shared" si="34"/>
        <v>47.833333333333336</v>
      </c>
      <c r="I81" s="131">
        <f t="shared" si="34"/>
        <v>49.193548387096776</v>
      </c>
      <c r="J81" s="131">
        <f t="shared" si="34"/>
        <v>26.532258064516128</v>
      </c>
      <c r="K81" s="131">
        <f t="shared" si="34"/>
        <v>48</v>
      </c>
      <c r="L81" s="131">
        <f t="shared" si="34"/>
        <v>50.483870967741936</v>
      </c>
      <c r="M81" s="131">
        <f t="shared" si="34"/>
        <v>44.083333333333336</v>
      </c>
      <c r="N81" s="131">
        <f t="shared" si="34"/>
        <v>52.661290322580648</v>
      </c>
      <c r="O81" s="131">
        <f t="shared" si="34"/>
        <v>44.356164383561641</v>
      </c>
    </row>
    <row r="82" spans="2:15" x14ac:dyDescent="0.25">
      <c r="B82" s="128" t="s">
        <v>77</v>
      </c>
      <c r="C82" s="131">
        <f>C74/C72</f>
        <v>2.2000000000000002</v>
      </c>
      <c r="D82" s="131">
        <f t="shared" ref="D82:O82" si="35">D74/D72</f>
        <v>2.0750000000000002</v>
      </c>
      <c r="E82" s="131">
        <f t="shared" si="35"/>
        <v>3.3</v>
      </c>
      <c r="F82" s="131">
        <f t="shared" si="35"/>
        <v>3.35</v>
      </c>
      <c r="G82" s="131">
        <f t="shared" si="35"/>
        <v>3.65</v>
      </c>
      <c r="H82" s="131">
        <f t="shared" si="35"/>
        <v>3.1</v>
      </c>
      <c r="I82" s="131">
        <f t="shared" si="35"/>
        <v>3.1749999999999998</v>
      </c>
      <c r="J82" s="131">
        <f t="shared" si="35"/>
        <v>2.0249999999999999</v>
      </c>
      <c r="K82" s="131">
        <f t="shared" si="35"/>
        <v>2.9</v>
      </c>
      <c r="L82" s="131">
        <f t="shared" si="35"/>
        <v>3.25</v>
      </c>
      <c r="M82" s="131">
        <f t="shared" si="35"/>
        <v>3.4249999999999998</v>
      </c>
      <c r="N82" s="131">
        <f t="shared" si="35"/>
        <v>3.3</v>
      </c>
      <c r="O82" s="131">
        <f t="shared" si="35"/>
        <v>2.9791666666666665</v>
      </c>
    </row>
    <row r="83" spans="2:15" x14ac:dyDescent="0.25">
      <c r="B83" s="128" t="s">
        <v>24</v>
      </c>
      <c r="C83" s="131">
        <f t="shared" ref="C83:O83" si="36">(C75-C76)/C74</f>
        <v>9.0340909090909083</v>
      </c>
      <c r="D83" s="131">
        <f t="shared" si="36"/>
        <v>9.5180722891566258</v>
      </c>
      <c r="E83" s="131">
        <f t="shared" si="36"/>
        <v>4.9545454545454541</v>
      </c>
      <c r="F83" s="131">
        <f t="shared" si="36"/>
        <v>5.0970149253731343</v>
      </c>
      <c r="G83" s="131">
        <f t="shared" si="36"/>
        <v>3.6917808219178081</v>
      </c>
      <c r="H83" s="131">
        <f t="shared" si="36"/>
        <v>5.0483870967741939</v>
      </c>
      <c r="I83" s="131">
        <f t="shared" si="36"/>
        <v>4.9606299212598426</v>
      </c>
      <c r="J83" s="131">
        <f t="shared" si="36"/>
        <v>11.246913580246913</v>
      </c>
      <c r="K83" s="131">
        <f t="shared" si="36"/>
        <v>5.3793103448275863</v>
      </c>
      <c r="L83" s="131">
        <f t="shared" si="36"/>
        <v>4.7230769230769232</v>
      </c>
      <c r="M83" s="131">
        <f t="shared" si="36"/>
        <v>4.8978102189781021</v>
      </c>
      <c r="N83" s="131">
        <f t="shared" si="36"/>
        <v>4.4469696969696972</v>
      </c>
      <c r="O83" s="131">
        <f t="shared" si="36"/>
        <v>5.6811188811188815</v>
      </c>
    </row>
    <row r="84" spans="2:15" x14ac:dyDescent="0.25">
      <c r="B84" s="156" t="s">
        <v>92</v>
      </c>
      <c r="C84" s="131">
        <f>C78/C75*100</f>
        <v>52.096774193548391</v>
      </c>
      <c r="D84" s="131">
        <f t="shared" ref="D84:L84" si="37">D78/D75*100</f>
        <v>48.839285714285715</v>
      </c>
      <c r="E84" s="131">
        <f t="shared" si="37"/>
        <v>66.370967741935488</v>
      </c>
      <c r="F84" s="131">
        <f t="shared" si="37"/>
        <v>64</v>
      </c>
      <c r="G84" s="131">
        <f t="shared" si="37"/>
        <v>60.161290322580641</v>
      </c>
      <c r="H84" s="131">
        <f t="shared" si="37"/>
        <v>52.75</v>
      </c>
      <c r="I84" s="131">
        <f t="shared" si="37"/>
        <v>46.612903225806448</v>
      </c>
      <c r="J84" s="131">
        <f t="shared" si="37"/>
        <v>29.838709677419356</v>
      </c>
      <c r="K84" s="131">
        <f t="shared" si="37"/>
        <v>53.833333333333336</v>
      </c>
      <c r="L84" s="131">
        <f t="shared" si="37"/>
        <v>62.983870967741936</v>
      </c>
      <c r="M84" s="131">
        <f>M78/M75*100</f>
        <v>64.916666666666671</v>
      </c>
      <c r="N84" s="131">
        <f>N78/N75*100</f>
        <v>64.193548387096783</v>
      </c>
      <c r="O84" s="131">
        <f>O78/O75*100</f>
        <v>55.56849315068493</v>
      </c>
    </row>
    <row r="85" spans="2:15" x14ac:dyDescent="0.25">
      <c r="B85" s="128" t="s">
        <v>26</v>
      </c>
      <c r="C85" s="126">
        <v>0</v>
      </c>
      <c r="D85" s="126">
        <v>1</v>
      </c>
      <c r="E85" s="126">
        <v>0</v>
      </c>
      <c r="F85" s="126">
        <v>2</v>
      </c>
      <c r="G85" s="126">
        <v>0</v>
      </c>
      <c r="H85" s="126">
        <v>0</v>
      </c>
      <c r="I85" s="126">
        <v>1</v>
      </c>
      <c r="J85" s="126">
        <f>SUM(J86:J87)</f>
        <v>1</v>
      </c>
      <c r="K85" s="126">
        <f>SUM(K86:K87)</f>
        <v>0</v>
      </c>
      <c r="L85" s="126">
        <f>SUM(L86:L87)</f>
        <v>2</v>
      </c>
      <c r="M85" s="126">
        <f t="shared" ref="M85:N85" si="38">SUM(M86:M87)</f>
        <v>0</v>
      </c>
      <c r="N85" s="126">
        <f t="shared" si="38"/>
        <v>2</v>
      </c>
      <c r="O85" s="126">
        <f>SUM(C85:N85)</f>
        <v>9</v>
      </c>
    </row>
    <row r="86" spans="2:15" x14ac:dyDescent="0.25">
      <c r="B86" s="128" t="s">
        <v>79</v>
      </c>
      <c r="C86" s="126">
        <v>0</v>
      </c>
      <c r="D86" s="126">
        <v>1</v>
      </c>
      <c r="E86" s="126">
        <v>0</v>
      </c>
      <c r="F86" s="126">
        <v>0</v>
      </c>
      <c r="G86" s="126">
        <v>0</v>
      </c>
      <c r="H86" s="126">
        <v>0</v>
      </c>
      <c r="I86" s="126">
        <v>1</v>
      </c>
      <c r="J86" s="126">
        <v>1</v>
      </c>
      <c r="K86" s="126">
        <v>0</v>
      </c>
      <c r="L86" s="126">
        <v>1</v>
      </c>
      <c r="M86" s="126">
        <v>0</v>
      </c>
      <c r="N86" s="126">
        <v>2</v>
      </c>
      <c r="O86" s="126">
        <f>SUM(C86:N86)</f>
        <v>6</v>
      </c>
    </row>
    <row r="87" spans="2:15" x14ac:dyDescent="0.25">
      <c r="B87" s="128" t="s">
        <v>80</v>
      </c>
      <c r="C87" s="126">
        <v>0</v>
      </c>
      <c r="D87" s="126">
        <v>0</v>
      </c>
      <c r="E87" s="126">
        <v>0</v>
      </c>
      <c r="F87" s="126">
        <v>2</v>
      </c>
      <c r="G87" s="126">
        <v>0</v>
      </c>
      <c r="H87" s="126">
        <v>0</v>
      </c>
      <c r="I87" s="126">
        <v>0</v>
      </c>
      <c r="J87" s="126">
        <v>0</v>
      </c>
      <c r="K87" s="126">
        <v>0</v>
      </c>
      <c r="L87" s="126">
        <v>1</v>
      </c>
      <c r="M87" s="126">
        <v>0</v>
      </c>
      <c r="N87" s="126">
        <v>0</v>
      </c>
      <c r="O87" s="126">
        <f>SUM(C87:N87)</f>
        <v>3</v>
      </c>
    </row>
    <row r="88" spans="2:15" x14ac:dyDescent="0.25">
      <c r="B88" s="128" t="s">
        <v>31</v>
      </c>
      <c r="C88" s="126">
        <v>0</v>
      </c>
      <c r="D88" s="126">
        <v>0</v>
      </c>
      <c r="E88" s="126">
        <v>0</v>
      </c>
      <c r="F88" s="126">
        <v>0</v>
      </c>
      <c r="G88" s="126">
        <v>3</v>
      </c>
      <c r="H88" s="126">
        <v>0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N88" s="126">
        <v>1</v>
      </c>
      <c r="O88" s="126">
        <f>SUM(C88:N88)</f>
        <v>4</v>
      </c>
    </row>
    <row r="90" spans="2:15" x14ac:dyDescent="0.25">
      <c r="B90" s="138"/>
    </row>
    <row r="91" spans="2:15" ht="15.75" x14ac:dyDescent="0.25">
      <c r="D91" s="190" t="s">
        <v>110</v>
      </c>
      <c r="E91" s="190"/>
      <c r="F91" s="190"/>
      <c r="G91" s="190"/>
      <c r="H91" s="190"/>
      <c r="I91" s="190"/>
      <c r="J91" s="190"/>
      <c r="K91" s="190"/>
    </row>
    <row r="92" spans="2:15" x14ac:dyDescent="0.25">
      <c r="B92" s="139" t="s">
        <v>66</v>
      </c>
    </row>
    <row r="93" spans="2:15" x14ac:dyDescent="0.25">
      <c r="C93" s="123" t="s">
        <v>1</v>
      </c>
      <c r="D93" s="123" t="s">
        <v>2</v>
      </c>
      <c r="E93" s="123" t="s">
        <v>3</v>
      </c>
      <c r="F93" s="123" t="s">
        <v>4</v>
      </c>
      <c r="G93" s="123" t="s">
        <v>5</v>
      </c>
      <c r="H93" s="123" t="s">
        <v>6</v>
      </c>
      <c r="I93" s="123" t="s">
        <v>7</v>
      </c>
      <c r="J93" s="123" t="s">
        <v>8</v>
      </c>
      <c r="K93" s="123" t="s">
        <v>9</v>
      </c>
      <c r="L93" s="123" t="s">
        <v>10</v>
      </c>
      <c r="M93" s="123" t="s">
        <v>11</v>
      </c>
      <c r="N93" s="123" t="s">
        <v>12</v>
      </c>
      <c r="O93" s="123" t="s">
        <v>13</v>
      </c>
    </row>
    <row r="94" spans="2:15" x14ac:dyDescent="0.25">
      <c r="B94" s="128" t="s">
        <v>14</v>
      </c>
      <c r="C94" s="126">
        <v>15</v>
      </c>
      <c r="D94" s="126">
        <v>15</v>
      </c>
      <c r="E94" s="126">
        <v>15</v>
      </c>
      <c r="F94" s="126">
        <v>15</v>
      </c>
      <c r="G94" s="126">
        <v>15</v>
      </c>
      <c r="H94" s="126">
        <v>15</v>
      </c>
      <c r="I94" s="126">
        <v>15</v>
      </c>
      <c r="J94" s="126">
        <v>15</v>
      </c>
      <c r="K94" s="126">
        <v>15</v>
      </c>
      <c r="L94" s="126">
        <v>15</v>
      </c>
      <c r="M94" s="126">
        <v>15</v>
      </c>
      <c r="N94" s="126">
        <v>15</v>
      </c>
      <c r="O94" s="126">
        <f>SUM(C94:N94)</f>
        <v>180</v>
      </c>
    </row>
    <row r="95" spans="2:15" x14ac:dyDescent="0.25">
      <c r="B95" s="128" t="s">
        <v>15</v>
      </c>
      <c r="C95" s="126">
        <f t="shared" ref="C95:H100" si="39">C223+C245+C274</f>
        <v>26</v>
      </c>
      <c r="D95" s="126">
        <f t="shared" si="39"/>
        <v>21</v>
      </c>
      <c r="E95" s="126">
        <f t="shared" si="39"/>
        <v>50</v>
      </c>
      <c r="F95" s="126">
        <f t="shared" si="39"/>
        <v>34</v>
      </c>
      <c r="G95" s="126">
        <f t="shared" si="39"/>
        <v>54</v>
      </c>
      <c r="H95" s="126">
        <f t="shared" si="39"/>
        <v>58</v>
      </c>
      <c r="I95" s="126">
        <v>38</v>
      </c>
      <c r="J95" s="126">
        <f t="shared" ref="J95:N100" si="40">J223+J245+J274</f>
        <v>28</v>
      </c>
      <c r="K95" s="126">
        <f t="shared" si="40"/>
        <v>45</v>
      </c>
      <c r="L95" s="126">
        <f t="shared" si="40"/>
        <v>49</v>
      </c>
      <c r="M95" s="126">
        <f t="shared" si="40"/>
        <v>45</v>
      </c>
      <c r="N95" s="126">
        <f t="shared" si="40"/>
        <v>44</v>
      </c>
      <c r="O95" s="126">
        <f t="shared" ref="O95:O100" si="41">SUM(C95:N95)</f>
        <v>492</v>
      </c>
    </row>
    <row r="96" spans="2:15" x14ac:dyDescent="0.25">
      <c r="B96" s="128" t="s">
        <v>16</v>
      </c>
      <c r="C96" s="126">
        <f t="shared" si="39"/>
        <v>29</v>
      </c>
      <c r="D96" s="126">
        <f t="shared" si="39"/>
        <v>22</v>
      </c>
      <c r="E96" s="126">
        <f t="shared" si="39"/>
        <v>57</v>
      </c>
      <c r="F96" s="126">
        <f t="shared" si="39"/>
        <v>39</v>
      </c>
      <c r="G96" s="126">
        <f t="shared" si="39"/>
        <v>51</v>
      </c>
      <c r="H96" s="126">
        <f t="shared" si="39"/>
        <v>55</v>
      </c>
      <c r="I96" s="126">
        <v>32</v>
      </c>
      <c r="J96" s="126">
        <f t="shared" si="40"/>
        <v>28</v>
      </c>
      <c r="K96" s="126">
        <f t="shared" si="40"/>
        <v>50</v>
      </c>
      <c r="L96" s="126">
        <f t="shared" si="40"/>
        <v>52</v>
      </c>
      <c r="M96" s="126">
        <f t="shared" si="40"/>
        <v>43</v>
      </c>
      <c r="N96" s="126">
        <f t="shared" si="40"/>
        <v>44</v>
      </c>
      <c r="O96" s="126">
        <f t="shared" si="41"/>
        <v>502</v>
      </c>
    </row>
    <row r="97" spans="2:15" x14ac:dyDescent="0.25">
      <c r="B97" s="128" t="s">
        <v>17</v>
      </c>
      <c r="C97" s="126">
        <f t="shared" si="39"/>
        <v>465</v>
      </c>
      <c r="D97" s="126">
        <f t="shared" si="39"/>
        <v>420</v>
      </c>
      <c r="E97" s="126">
        <f t="shared" si="39"/>
        <v>465</v>
      </c>
      <c r="F97" s="126">
        <f t="shared" si="39"/>
        <v>450</v>
      </c>
      <c r="G97" s="126">
        <f t="shared" si="39"/>
        <v>465</v>
      </c>
      <c r="H97" s="126">
        <f t="shared" si="39"/>
        <v>450</v>
      </c>
      <c r="I97" s="126">
        <f>I225+I247+I276</f>
        <v>465</v>
      </c>
      <c r="J97" s="126">
        <f t="shared" si="40"/>
        <v>465</v>
      </c>
      <c r="K97" s="126">
        <f t="shared" si="40"/>
        <v>450</v>
      </c>
      <c r="L97" s="126">
        <f t="shared" si="40"/>
        <v>465</v>
      </c>
      <c r="M97" s="126">
        <f t="shared" si="40"/>
        <v>450</v>
      </c>
      <c r="N97" s="126">
        <f t="shared" si="40"/>
        <v>465</v>
      </c>
      <c r="O97" s="126">
        <f t="shared" si="41"/>
        <v>5475</v>
      </c>
    </row>
    <row r="98" spans="2:15" x14ac:dyDescent="0.25">
      <c r="B98" s="128" t="s">
        <v>18</v>
      </c>
      <c r="C98" s="126">
        <f t="shared" si="39"/>
        <v>152</v>
      </c>
      <c r="D98" s="126">
        <f t="shared" si="39"/>
        <v>90</v>
      </c>
      <c r="E98" s="126">
        <f t="shared" si="39"/>
        <v>260</v>
      </c>
      <c r="F98" s="126">
        <f t="shared" si="39"/>
        <v>183</v>
      </c>
      <c r="G98" s="126">
        <f t="shared" si="39"/>
        <v>155</v>
      </c>
      <c r="H98" s="126">
        <f t="shared" si="39"/>
        <v>177</v>
      </c>
      <c r="I98" s="126">
        <v>114</v>
      </c>
      <c r="J98" s="126">
        <f t="shared" si="40"/>
        <v>73</v>
      </c>
      <c r="K98" s="126">
        <f t="shared" si="40"/>
        <v>182</v>
      </c>
      <c r="L98" s="126">
        <f t="shared" si="40"/>
        <v>208</v>
      </c>
      <c r="M98" s="126">
        <f t="shared" si="40"/>
        <v>149</v>
      </c>
      <c r="N98" s="126">
        <f t="shared" si="40"/>
        <v>151</v>
      </c>
      <c r="O98" s="126">
        <f t="shared" si="41"/>
        <v>1894</v>
      </c>
    </row>
    <row r="99" spans="2:15" x14ac:dyDescent="0.25">
      <c r="B99" s="128" t="s">
        <v>19</v>
      </c>
      <c r="C99" s="126">
        <f t="shared" si="39"/>
        <v>171</v>
      </c>
      <c r="D99" s="126">
        <f t="shared" si="39"/>
        <v>114</v>
      </c>
      <c r="E99" s="126">
        <f t="shared" si="39"/>
        <v>325</v>
      </c>
      <c r="F99" s="126">
        <f t="shared" si="39"/>
        <v>202</v>
      </c>
      <c r="G99" s="126">
        <f t="shared" si="39"/>
        <v>227</v>
      </c>
      <c r="H99" s="126">
        <f t="shared" si="39"/>
        <v>196</v>
      </c>
      <c r="I99" s="126">
        <v>119</v>
      </c>
      <c r="J99" s="126">
        <f t="shared" si="40"/>
        <v>117</v>
      </c>
      <c r="K99" s="126">
        <f t="shared" si="40"/>
        <v>257</v>
      </c>
      <c r="L99" s="126">
        <f t="shared" si="40"/>
        <v>236</v>
      </c>
      <c r="M99" s="126">
        <f t="shared" si="40"/>
        <v>157</v>
      </c>
      <c r="N99" s="126">
        <f t="shared" si="40"/>
        <v>178</v>
      </c>
      <c r="O99" s="126">
        <f t="shared" si="41"/>
        <v>2299</v>
      </c>
    </row>
    <row r="100" spans="2:15" x14ac:dyDescent="0.25">
      <c r="B100" s="156" t="s">
        <v>59</v>
      </c>
      <c r="C100" s="126">
        <f t="shared" si="39"/>
        <v>322</v>
      </c>
      <c r="D100" s="126">
        <f t="shared" si="39"/>
        <v>384</v>
      </c>
      <c r="E100" s="126">
        <f t="shared" si="39"/>
        <v>329</v>
      </c>
      <c r="F100" s="126">
        <f t="shared" si="39"/>
        <v>383</v>
      </c>
      <c r="G100" s="126">
        <f t="shared" si="39"/>
        <v>308</v>
      </c>
      <c r="H100" s="126">
        <f t="shared" si="39"/>
        <v>280</v>
      </c>
      <c r="I100" s="126">
        <f>I228+I250+I279</f>
        <v>198</v>
      </c>
      <c r="J100" s="126">
        <f t="shared" si="40"/>
        <v>185</v>
      </c>
      <c r="K100" s="126">
        <f t="shared" si="40"/>
        <v>300</v>
      </c>
      <c r="L100" s="126">
        <f t="shared" si="40"/>
        <v>314</v>
      </c>
      <c r="M100" s="126">
        <f t="shared" si="40"/>
        <v>274</v>
      </c>
      <c r="N100" s="126">
        <f t="shared" si="40"/>
        <v>0</v>
      </c>
      <c r="O100" s="126">
        <f t="shared" si="41"/>
        <v>3277</v>
      </c>
    </row>
    <row r="101" spans="2:15" x14ac:dyDescent="0.25">
      <c r="B101" s="128" t="s">
        <v>74</v>
      </c>
      <c r="C101" s="131">
        <f t="shared" ref="C101:N101" si="42">C98/C96</f>
        <v>5.2413793103448274</v>
      </c>
      <c r="D101" s="131">
        <f t="shared" si="42"/>
        <v>4.0909090909090908</v>
      </c>
      <c r="E101" s="131">
        <f t="shared" si="42"/>
        <v>4.5614035087719298</v>
      </c>
      <c r="F101" s="131">
        <f t="shared" si="42"/>
        <v>4.6923076923076925</v>
      </c>
      <c r="G101" s="131">
        <f t="shared" si="42"/>
        <v>3.0392156862745097</v>
      </c>
      <c r="H101" s="131">
        <f t="shared" si="42"/>
        <v>3.2181818181818183</v>
      </c>
      <c r="I101" s="131">
        <f t="shared" si="42"/>
        <v>3.5625</v>
      </c>
      <c r="J101" s="131">
        <f t="shared" si="42"/>
        <v>2.6071428571428572</v>
      </c>
      <c r="K101" s="131">
        <f t="shared" si="42"/>
        <v>3.64</v>
      </c>
      <c r="L101" s="131">
        <f t="shared" si="42"/>
        <v>4</v>
      </c>
      <c r="M101" s="131">
        <f t="shared" si="42"/>
        <v>3.4651162790697674</v>
      </c>
      <c r="N101" s="131">
        <f t="shared" si="42"/>
        <v>3.4318181818181817</v>
      </c>
      <c r="O101" s="131">
        <f>O98/O96</f>
        <v>3.7729083665338647</v>
      </c>
    </row>
    <row r="102" spans="2:15" x14ac:dyDescent="0.25">
      <c r="B102" s="128" t="s">
        <v>75</v>
      </c>
      <c r="C102" s="131">
        <f t="shared" ref="C102:N102" si="43">C99/C96</f>
        <v>5.8965517241379306</v>
      </c>
      <c r="D102" s="131">
        <f t="shared" si="43"/>
        <v>5.1818181818181817</v>
      </c>
      <c r="E102" s="131">
        <f t="shared" si="43"/>
        <v>5.7017543859649127</v>
      </c>
      <c r="F102" s="131">
        <f t="shared" si="43"/>
        <v>5.1794871794871797</v>
      </c>
      <c r="G102" s="131">
        <f t="shared" si="43"/>
        <v>4.4509803921568629</v>
      </c>
      <c r="H102" s="131">
        <f t="shared" si="43"/>
        <v>3.5636363636363635</v>
      </c>
      <c r="I102" s="131">
        <f t="shared" si="43"/>
        <v>3.71875</v>
      </c>
      <c r="J102" s="131">
        <f t="shared" si="43"/>
        <v>4.1785714285714288</v>
      </c>
      <c r="K102" s="131">
        <f t="shared" si="43"/>
        <v>5.14</v>
      </c>
      <c r="L102" s="131">
        <f t="shared" si="43"/>
        <v>4.5384615384615383</v>
      </c>
      <c r="M102" s="131">
        <f t="shared" si="43"/>
        <v>3.6511627906976742</v>
      </c>
      <c r="N102" s="131">
        <f t="shared" si="43"/>
        <v>4.0454545454545459</v>
      </c>
      <c r="O102" s="131">
        <f>O99/O96</f>
        <v>4.5796812749003983</v>
      </c>
    </row>
    <row r="103" spans="2:15" x14ac:dyDescent="0.25">
      <c r="B103" s="128" t="s">
        <v>76</v>
      </c>
      <c r="C103" s="131">
        <f t="shared" ref="C103:O103" si="44">C98/C97*100</f>
        <v>32.688172043010752</v>
      </c>
      <c r="D103" s="131">
        <f t="shared" si="44"/>
        <v>21.428571428571427</v>
      </c>
      <c r="E103" s="131">
        <f t="shared" si="44"/>
        <v>55.913978494623649</v>
      </c>
      <c r="F103" s="131">
        <f t="shared" si="44"/>
        <v>40.666666666666664</v>
      </c>
      <c r="G103" s="131">
        <f t="shared" si="44"/>
        <v>33.333333333333329</v>
      </c>
      <c r="H103" s="131">
        <f t="shared" si="44"/>
        <v>39.333333333333329</v>
      </c>
      <c r="I103" s="131">
        <f t="shared" si="44"/>
        <v>24.516129032258064</v>
      </c>
      <c r="J103" s="131">
        <f t="shared" si="44"/>
        <v>15.698924731182796</v>
      </c>
      <c r="K103" s="131">
        <f t="shared" si="44"/>
        <v>40.444444444444443</v>
      </c>
      <c r="L103" s="131">
        <f t="shared" si="44"/>
        <v>44.731182795698928</v>
      </c>
      <c r="M103" s="131">
        <f t="shared" si="44"/>
        <v>33.111111111111114</v>
      </c>
      <c r="N103" s="131">
        <f t="shared" si="44"/>
        <v>32.473118279569889</v>
      </c>
      <c r="O103" s="131">
        <f t="shared" si="44"/>
        <v>34.593607305936075</v>
      </c>
    </row>
    <row r="104" spans="2:15" x14ac:dyDescent="0.25">
      <c r="B104" s="128" t="s">
        <v>77</v>
      </c>
      <c r="C104" s="131">
        <f>C96/C94</f>
        <v>1.9333333333333333</v>
      </c>
      <c r="D104" s="131">
        <f t="shared" ref="D104:O104" si="45">D96/D94</f>
        <v>1.4666666666666666</v>
      </c>
      <c r="E104" s="131">
        <f t="shared" si="45"/>
        <v>3.8</v>
      </c>
      <c r="F104" s="131">
        <f t="shared" si="45"/>
        <v>2.6</v>
      </c>
      <c r="G104" s="131">
        <f t="shared" si="45"/>
        <v>3.4</v>
      </c>
      <c r="H104" s="131">
        <f t="shared" si="45"/>
        <v>3.6666666666666665</v>
      </c>
      <c r="I104" s="131">
        <f t="shared" si="45"/>
        <v>2.1333333333333333</v>
      </c>
      <c r="J104" s="131">
        <f t="shared" si="45"/>
        <v>1.8666666666666667</v>
      </c>
      <c r="K104" s="131">
        <f t="shared" si="45"/>
        <v>3.3333333333333335</v>
      </c>
      <c r="L104" s="131">
        <f t="shared" si="45"/>
        <v>3.4666666666666668</v>
      </c>
      <c r="M104" s="131">
        <f t="shared" si="45"/>
        <v>2.8666666666666667</v>
      </c>
      <c r="N104" s="131">
        <f t="shared" si="45"/>
        <v>2.9333333333333331</v>
      </c>
      <c r="O104" s="131">
        <f t="shared" si="45"/>
        <v>2.7888888888888888</v>
      </c>
    </row>
    <row r="105" spans="2:15" x14ac:dyDescent="0.25">
      <c r="B105" s="128" t="s">
        <v>24</v>
      </c>
      <c r="C105" s="131">
        <f>(C97-C98)/C96</f>
        <v>10.793103448275861</v>
      </c>
      <c r="D105" s="131">
        <f t="shared" ref="D105:O105" si="46">(D97-D98)/D96</f>
        <v>15</v>
      </c>
      <c r="E105" s="131">
        <f t="shared" si="46"/>
        <v>3.5964912280701755</v>
      </c>
      <c r="F105" s="131">
        <f t="shared" si="46"/>
        <v>6.8461538461538458</v>
      </c>
      <c r="G105" s="131">
        <f t="shared" si="46"/>
        <v>6.0784313725490193</v>
      </c>
      <c r="H105" s="131">
        <f t="shared" si="46"/>
        <v>4.9636363636363638</v>
      </c>
      <c r="I105" s="131">
        <f t="shared" si="46"/>
        <v>10.96875</v>
      </c>
      <c r="J105" s="131">
        <f t="shared" si="46"/>
        <v>14</v>
      </c>
      <c r="K105" s="131">
        <f t="shared" si="46"/>
        <v>5.36</v>
      </c>
      <c r="L105" s="131">
        <f t="shared" si="46"/>
        <v>4.9423076923076925</v>
      </c>
      <c r="M105" s="131">
        <f t="shared" si="46"/>
        <v>7</v>
      </c>
      <c r="N105" s="131">
        <f t="shared" si="46"/>
        <v>7.1363636363636367</v>
      </c>
      <c r="O105" s="131">
        <f t="shared" si="46"/>
        <v>7.1334661354581677</v>
      </c>
    </row>
    <row r="106" spans="2:15" x14ac:dyDescent="0.25">
      <c r="B106" s="156" t="s">
        <v>94</v>
      </c>
      <c r="C106" s="131">
        <f>C100/C97*100</f>
        <v>69.247311827956992</v>
      </c>
      <c r="D106" s="131">
        <f t="shared" ref="D106:O106" si="47">D100/D97*100</f>
        <v>91.428571428571431</v>
      </c>
      <c r="E106" s="131">
        <f t="shared" si="47"/>
        <v>70.752688172043008</v>
      </c>
      <c r="F106" s="131">
        <f t="shared" si="47"/>
        <v>85.111111111111114</v>
      </c>
      <c r="G106" s="131">
        <f t="shared" si="47"/>
        <v>66.236559139784944</v>
      </c>
      <c r="H106" s="131">
        <f t="shared" si="47"/>
        <v>62.222222222222221</v>
      </c>
      <c r="I106" s="131">
        <f t="shared" si="47"/>
        <v>42.58064516129032</v>
      </c>
      <c r="J106" s="131">
        <f t="shared" si="47"/>
        <v>39.784946236559136</v>
      </c>
      <c r="K106" s="131">
        <f t="shared" si="47"/>
        <v>66.666666666666657</v>
      </c>
      <c r="L106" s="131">
        <f t="shared" si="47"/>
        <v>67.526881720430111</v>
      </c>
      <c r="M106" s="131">
        <f t="shared" si="47"/>
        <v>60.888888888888893</v>
      </c>
      <c r="N106" s="131">
        <f t="shared" si="47"/>
        <v>0</v>
      </c>
      <c r="O106" s="131">
        <f t="shared" si="47"/>
        <v>59.853881278538815</v>
      </c>
    </row>
    <row r="107" spans="2:15" x14ac:dyDescent="0.25">
      <c r="B107" s="128" t="s">
        <v>26</v>
      </c>
      <c r="C107" s="126">
        <f t="shared" ref="C107:D110" si="48">C235+C257+C286</f>
        <v>0</v>
      </c>
      <c r="D107" s="126">
        <f t="shared" si="48"/>
        <v>0</v>
      </c>
      <c r="E107" s="126">
        <v>7</v>
      </c>
      <c r="F107" s="126">
        <f t="shared" ref="F107:H110" si="49">F235+F257+F286</f>
        <v>2</v>
      </c>
      <c r="G107" s="126">
        <f t="shared" si="49"/>
        <v>2</v>
      </c>
      <c r="H107" s="126">
        <f t="shared" si="49"/>
        <v>1</v>
      </c>
      <c r="I107" s="126">
        <v>2</v>
      </c>
      <c r="J107" s="126">
        <f t="shared" ref="J107:N110" si="50">J235+J257+J286</f>
        <v>2</v>
      </c>
      <c r="K107" s="126">
        <f t="shared" si="50"/>
        <v>1</v>
      </c>
      <c r="L107" s="126">
        <f t="shared" si="50"/>
        <v>1</v>
      </c>
      <c r="M107" s="126">
        <f t="shared" si="50"/>
        <v>0</v>
      </c>
      <c r="N107" s="126">
        <f t="shared" si="50"/>
        <v>2</v>
      </c>
      <c r="O107" s="126">
        <f>SUM(C107:N107)</f>
        <v>20</v>
      </c>
    </row>
    <row r="108" spans="2:15" x14ac:dyDescent="0.25">
      <c r="B108" s="128" t="s">
        <v>79</v>
      </c>
      <c r="C108" s="126">
        <f t="shared" si="48"/>
        <v>0</v>
      </c>
      <c r="D108" s="126">
        <f t="shared" si="48"/>
        <v>0</v>
      </c>
      <c r="E108" s="126">
        <f>E236+E258+E287</f>
        <v>7</v>
      </c>
      <c r="F108" s="126">
        <f t="shared" si="49"/>
        <v>0</v>
      </c>
      <c r="G108" s="126">
        <f t="shared" si="49"/>
        <v>1</v>
      </c>
      <c r="H108" s="126">
        <f t="shared" si="49"/>
        <v>0</v>
      </c>
      <c r="I108" s="126">
        <v>1</v>
      </c>
      <c r="J108" s="126">
        <f t="shared" si="50"/>
        <v>2</v>
      </c>
      <c r="K108" s="126">
        <f t="shared" si="50"/>
        <v>1</v>
      </c>
      <c r="L108" s="126">
        <f t="shared" si="50"/>
        <v>0</v>
      </c>
      <c r="M108" s="126">
        <f t="shared" si="50"/>
        <v>0</v>
      </c>
      <c r="N108" s="126">
        <f t="shared" si="50"/>
        <v>1</v>
      </c>
      <c r="O108" s="126">
        <f>SUM(C108:N108)</f>
        <v>13</v>
      </c>
    </row>
    <row r="109" spans="2:15" x14ac:dyDescent="0.25">
      <c r="B109" s="128" t="s">
        <v>80</v>
      </c>
      <c r="C109" s="126">
        <f t="shared" si="48"/>
        <v>0</v>
      </c>
      <c r="D109" s="126">
        <f t="shared" si="48"/>
        <v>0</v>
      </c>
      <c r="E109" s="126">
        <f>E237+E259+E288</f>
        <v>3</v>
      </c>
      <c r="F109" s="126">
        <f t="shared" si="49"/>
        <v>2</v>
      </c>
      <c r="G109" s="126">
        <f t="shared" si="49"/>
        <v>1</v>
      </c>
      <c r="H109" s="126">
        <f t="shared" si="49"/>
        <v>1</v>
      </c>
      <c r="I109" s="126">
        <v>1</v>
      </c>
      <c r="J109" s="126">
        <f t="shared" si="50"/>
        <v>0</v>
      </c>
      <c r="K109" s="126">
        <f t="shared" si="50"/>
        <v>0</v>
      </c>
      <c r="L109" s="126">
        <f t="shared" si="50"/>
        <v>1</v>
      </c>
      <c r="M109" s="126">
        <f t="shared" si="50"/>
        <v>0</v>
      </c>
      <c r="N109" s="126">
        <f t="shared" si="50"/>
        <v>1</v>
      </c>
      <c r="O109" s="126">
        <f>SUM(C109:N109)</f>
        <v>10</v>
      </c>
    </row>
    <row r="110" spans="2:15" x14ac:dyDescent="0.25">
      <c r="B110" s="128" t="s">
        <v>31</v>
      </c>
      <c r="C110" s="126">
        <f t="shared" si="48"/>
        <v>0</v>
      </c>
      <c r="D110" s="126">
        <f t="shared" si="48"/>
        <v>0</v>
      </c>
      <c r="E110" s="126">
        <f>E238+E260+E289</f>
        <v>0</v>
      </c>
      <c r="F110" s="126">
        <f t="shared" si="49"/>
        <v>0</v>
      </c>
      <c r="G110" s="126">
        <f t="shared" si="49"/>
        <v>0</v>
      </c>
      <c r="H110" s="126">
        <f t="shared" si="49"/>
        <v>0</v>
      </c>
      <c r="I110" s="126">
        <v>0</v>
      </c>
      <c r="J110" s="126">
        <f t="shared" si="50"/>
        <v>0</v>
      </c>
      <c r="K110" s="126">
        <f t="shared" si="50"/>
        <v>0</v>
      </c>
      <c r="L110" s="126">
        <f t="shared" si="50"/>
        <v>0</v>
      </c>
      <c r="M110" s="126">
        <f t="shared" si="50"/>
        <v>0</v>
      </c>
      <c r="N110" s="126">
        <f t="shared" si="50"/>
        <v>0</v>
      </c>
      <c r="O110" s="126">
        <f>SUM(C110:N110)</f>
        <v>0</v>
      </c>
    </row>
    <row r="111" spans="2:15" x14ac:dyDescent="0.25">
      <c r="B111" s="137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26"/>
    </row>
    <row r="112" spans="2:15" x14ac:dyDescent="0.25">
      <c r="B112" s="138"/>
    </row>
    <row r="113" spans="2:15" ht="15.75" x14ac:dyDescent="0.25">
      <c r="B113" s="190" t="s">
        <v>111</v>
      </c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spans="2:15" x14ac:dyDescent="0.25">
      <c r="B114" s="139" t="s">
        <v>56</v>
      </c>
    </row>
    <row r="115" spans="2:15" x14ac:dyDescent="0.25">
      <c r="C115" s="123" t="s">
        <v>1</v>
      </c>
      <c r="D115" s="123" t="s">
        <v>2</v>
      </c>
      <c r="E115" s="123" t="s">
        <v>3</v>
      </c>
      <c r="F115" s="123" t="s">
        <v>4</v>
      </c>
      <c r="G115" s="123" t="s">
        <v>5</v>
      </c>
      <c r="H115" s="123" t="s">
        <v>6</v>
      </c>
      <c r="I115" s="123" t="s">
        <v>7</v>
      </c>
      <c r="J115" s="123" t="s">
        <v>8</v>
      </c>
      <c r="K115" s="123" t="s">
        <v>9</v>
      </c>
      <c r="L115" s="123" t="s">
        <v>10</v>
      </c>
      <c r="M115" s="123" t="s">
        <v>11</v>
      </c>
      <c r="N115" s="123" t="s">
        <v>12</v>
      </c>
      <c r="O115" s="123" t="s">
        <v>13</v>
      </c>
    </row>
    <row r="116" spans="2:15" x14ac:dyDescent="0.25">
      <c r="B116" s="128" t="s">
        <v>14</v>
      </c>
      <c r="C116" s="126">
        <v>36</v>
      </c>
      <c r="D116" s="126">
        <v>36</v>
      </c>
      <c r="E116" s="126">
        <v>36</v>
      </c>
      <c r="F116" s="126">
        <v>36</v>
      </c>
      <c r="G116" s="126">
        <v>36</v>
      </c>
      <c r="H116" s="126">
        <v>36</v>
      </c>
      <c r="I116" s="126">
        <v>36</v>
      </c>
      <c r="J116" s="126">
        <v>36</v>
      </c>
      <c r="K116" s="126">
        <v>36</v>
      </c>
      <c r="L116" s="126">
        <v>36</v>
      </c>
      <c r="M116" s="126">
        <v>36</v>
      </c>
      <c r="N116" s="126">
        <v>36</v>
      </c>
      <c r="O116" s="126">
        <f>SUM(C116:N116)</f>
        <v>432</v>
      </c>
    </row>
    <row r="117" spans="2:15" x14ac:dyDescent="0.25">
      <c r="B117" s="128" t="s">
        <v>15</v>
      </c>
      <c r="C117" s="126">
        <v>113</v>
      </c>
      <c r="D117" s="126">
        <v>109</v>
      </c>
      <c r="E117" s="126">
        <v>104</v>
      </c>
      <c r="F117" s="126">
        <v>109</v>
      </c>
      <c r="G117" s="126">
        <v>119</v>
      </c>
      <c r="H117" s="126">
        <v>107</v>
      </c>
      <c r="I117" s="126">
        <v>73</v>
      </c>
      <c r="J117" s="126">
        <v>55</v>
      </c>
      <c r="K117" s="126">
        <f>20+36+6+18</f>
        <v>80</v>
      </c>
      <c r="L117" s="126">
        <f>19+25+1+20</f>
        <v>65</v>
      </c>
      <c r="M117" s="126">
        <v>70</v>
      </c>
      <c r="N117" s="126">
        <v>43</v>
      </c>
      <c r="O117" s="126">
        <f t="shared" ref="O117:O122" si="51">SUM(C117:N117)</f>
        <v>1047</v>
      </c>
    </row>
    <row r="118" spans="2:15" x14ac:dyDescent="0.25">
      <c r="B118" s="128" t="s">
        <v>16</v>
      </c>
      <c r="C118" s="126">
        <v>104</v>
      </c>
      <c r="D118" s="126">
        <v>109</v>
      </c>
      <c r="E118" s="126">
        <v>110</v>
      </c>
      <c r="F118" s="126">
        <v>107</v>
      </c>
      <c r="G118" s="126">
        <v>105</v>
      </c>
      <c r="H118" s="126">
        <v>114</v>
      </c>
      <c r="I118" s="126">
        <v>80</v>
      </c>
      <c r="J118" s="126">
        <v>51</v>
      </c>
      <c r="K118" s="126">
        <v>78</v>
      </c>
      <c r="L118" s="126">
        <v>71</v>
      </c>
      <c r="M118" s="126">
        <v>65</v>
      </c>
      <c r="N118" s="126">
        <v>46</v>
      </c>
      <c r="O118" s="126">
        <f t="shared" si="51"/>
        <v>1040</v>
      </c>
    </row>
    <row r="119" spans="2:15" x14ac:dyDescent="0.25">
      <c r="B119" s="128" t="s">
        <v>17</v>
      </c>
      <c r="C119" s="126">
        <v>1116</v>
      </c>
      <c r="D119" s="126">
        <v>1008</v>
      </c>
      <c r="E119" s="126">
        <v>1116</v>
      </c>
      <c r="F119" s="126">
        <v>1080</v>
      </c>
      <c r="G119" s="126">
        <v>1116</v>
      </c>
      <c r="H119" s="126">
        <v>1080</v>
      </c>
      <c r="I119" s="126">
        <v>1116</v>
      </c>
      <c r="J119" s="126">
        <f>36*31</f>
        <v>1116</v>
      </c>
      <c r="K119" s="126">
        <v>1080</v>
      </c>
      <c r="L119" s="126">
        <v>1116</v>
      </c>
      <c r="M119" s="126">
        <v>1080</v>
      </c>
      <c r="N119" s="126">
        <f>36*31</f>
        <v>1116</v>
      </c>
      <c r="O119" s="126">
        <f t="shared" si="51"/>
        <v>13140</v>
      </c>
    </row>
    <row r="120" spans="2:15" x14ac:dyDescent="0.25">
      <c r="B120" s="128" t="s">
        <v>18</v>
      </c>
      <c r="C120" s="126">
        <v>341</v>
      </c>
      <c r="D120" s="126">
        <v>356</v>
      </c>
      <c r="E120" s="126">
        <v>362</v>
      </c>
      <c r="F120" s="126">
        <v>314</v>
      </c>
      <c r="G120" s="126">
        <v>373</v>
      </c>
      <c r="H120" s="126">
        <v>356</v>
      </c>
      <c r="I120" s="126">
        <v>220</v>
      </c>
      <c r="J120" s="126">
        <v>156</v>
      </c>
      <c r="K120" s="126">
        <v>282</v>
      </c>
      <c r="L120" s="126">
        <v>191</v>
      </c>
      <c r="M120" s="126">
        <v>188</v>
      </c>
      <c r="N120" s="126">
        <v>152</v>
      </c>
      <c r="O120" s="126">
        <f t="shared" si="51"/>
        <v>3291</v>
      </c>
    </row>
    <row r="121" spans="2:15" x14ac:dyDescent="0.25">
      <c r="B121" s="128" t="s">
        <v>19</v>
      </c>
      <c r="C121" s="126">
        <v>351</v>
      </c>
      <c r="D121" s="126">
        <v>404</v>
      </c>
      <c r="E121" s="126">
        <v>416</v>
      </c>
      <c r="F121" s="126">
        <v>340</v>
      </c>
      <c r="G121" s="126">
        <v>393</v>
      </c>
      <c r="H121" s="126">
        <v>437</v>
      </c>
      <c r="I121" s="126">
        <v>262</v>
      </c>
      <c r="J121" s="126">
        <v>169</v>
      </c>
      <c r="K121" s="126">
        <v>405</v>
      </c>
      <c r="L121" s="126">
        <v>228</v>
      </c>
      <c r="M121" s="126">
        <v>190</v>
      </c>
      <c r="N121" s="126">
        <v>179</v>
      </c>
      <c r="O121" s="126">
        <f t="shared" si="51"/>
        <v>3774</v>
      </c>
    </row>
    <row r="122" spans="2:15" x14ac:dyDescent="0.25">
      <c r="B122" s="156" t="s">
        <v>97</v>
      </c>
      <c r="C122" s="126">
        <f>5+10+10+12+11+9+8+11+11+13+13+10+12+15+14+16+19+16+11+10+8+11+12+16+6+5+8+10+14+18+16</f>
        <v>360</v>
      </c>
      <c r="D122" s="126">
        <f>19+21+17+20+13+9+15+12+9+10+13+8+6+14+17+12+15+11+15+21+21+16+7+7+9+14+12+14</f>
        <v>377</v>
      </c>
      <c r="E122" s="126">
        <f>15+10+13+5+9+12+12+15+4+5+10+11+12+17+18+11+10+7+8+11+16+21+17+10+8+11+11+15+9+8+7</f>
        <v>348</v>
      </c>
      <c r="F122" s="126">
        <f>4+6+11+16+23+11+9+5+12+13+15+18+11+5+6+9+14+19+6+1+3+3+8+10+17+18+14+13+12+9</f>
        <v>321</v>
      </c>
      <c r="G122" s="126">
        <f>14+23+27+19+19+16+14+19+18+21+14+13+12+15+19+12+10+7+11+7+12+9+11+12+14+13+13+13+16+18+21</f>
        <v>462</v>
      </c>
      <c r="H122" s="126">
        <f>21+14+16+15+16+11+12+15+18+16+16+10+14+13+9+12+18+13+11+10+6+6+8+11+14+10+15+11+12+14</f>
        <v>387</v>
      </c>
      <c r="I122" s="126">
        <v>267</v>
      </c>
      <c r="J122" s="126">
        <v>211</v>
      </c>
      <c r="K122" s="126">
        <v>315</v>
      </c>
      <c r="L122" s="126">
        <v>225</v>
      </c>
      <c r="M122" s="126">
        <v>273</v>
      </c>
      <c r="N122" s="126">
        <v>263</v>
      </c>
      <c r="O122" s="126">
        <f t="shared" si="51"/>
        <v>3809</v>
      </c>
    </row>
    <row r="123" spans="2:15" x14ac:dyDescent="0.25">
      <c r="B123" s="128" t="s">
        <v>74</v>
      </c>
      <c r="C123" s="131">
        <f t="shared" ref="C123:N123" si="52">C120/C118</f>
        <v>3.2788461538461537</v>
      </c>
      <c r="D123" s="131">
        <f t="shared" si="52"/>
        <v>3.2660550458715596</v>
      </c>
      <c r="E123" s="131">
        <f t="shared" si="52"/>
        <v>3.290909090909091</v>
      </c>
      <c r="F123" s="131">
        <f t="shared" si="52"/>
        <v>2.9345794392523366</v>
      </c>
      <c r="G123" s="131">
        <f t="shared" si="52"/>
        <v>3.5523809523809522</v>
      </c>
      <c r="H123" s="131">
        <f t="shared" si="52"/>
        <v>3.1228070175438596</v>
      </c>
      <c r="I123" s="131">
        <f t="shared" si="52"/>
        <v>2.75</v>
      </c>
      <c r="J123" s="131">
        <f t="shared" si="52"/>
        <v>3.0588235294117645</v>
      </c>
      <c r="K123" s="131">
        <f t="shared" si="52"/>
        <v>3.6153846153846154</v>
      </c>
      <c r="L123" s="131">
        <f t="shared" si="52"/>
        <v>2.6901408450704225</v>
      </c>
      <c r="M123" s="131">
        <f t="shared" si="52"/>
        <v>2.8923076923076922</v>
      </c>
      <c r="N123" s="131">
        <f t="shared" si="52"/>
        <v>3.3043478260869565</v>
      </c>
      <c r="O123" s="131">
        <f>O120/O118</f>
        <v>3.164423076923077</v>
      </c>
    </row>
    <row r="124" spans="2:15" x14ac:dyDescent="0.25">
      <c r="B124" s="128" t="s">
        <v>75</v>
      </c>
      <c r="C124" s="131">
        <f t="shared" ref="C124:O124" si="53">C121/C118</f>
        <v>3.375</v>
      </c>
      <c r="D124" s="131">
        <f t="shared" si="53"/>
        <v>3.7064220183486238</v>
      </c>
      <c r="E124" s="131">
        <f t="shared" si="53"/>
        <v>3.7818181818181817</v>
      </c>
      <c r="F124" s="131">
        <f t="shared" si="53"/>
        <v>3.1775700934579438</v>
      </c>
      <c r="G124" s="131">
        <f t="shared" si="53"/>
        <v>3.7428571428571429</v>
      </c>
      <c r="H124" s="131">
        <f t="shared" si="53"/>
        <v>3.8333333333333335</v>
      </c>
      <c r="I124" s="131">
        <f t="shared" si="53"/>
        <v>3.2749999999999999</v>
      </c>
      <c r="J124" s="131">
        <f t="shared" si="53"/>
        <v>3.3137254901960786</v>
      </c>
      <c r="K124" s="131">
        <f t="shared" si="53"/>
        <v>5.1923076923076925</v>
      </c>
      <c r="L124" s="131">
        <f t="shared" si="53"/>
        <v>3.211267605633803</v>
      </c>
      <c r="M124" s="131">
        <f t="shared" si="53"/>
        <v>2.9230769230769229</v>
      </c>
      <c r="N124" s="131">
        <f t="shared" si="53"/>
        <v>3.8913043478260869</v>
      </c>
      <c r="O124" s="131">
        <f t="shared" si="53"/>
        <v>3.6288461538461538</v>
      </c>
    </row>
    <row r="125" spans="2:15" x14ac:dyDescent="0.25">
      <c r="B125" s="128" t="s">
        <v>76</v>
      </c>
      <c r="C125" s="131">
        <f t="shared" ref="C125:O125" si="54">C120/C119*100</f>
        <v>30.555555555555557</v>
      </c>
      <c r="D125" s="131">
        <f t="shared" si="54"/>
        <v>35.317460317460316</v>
      </c>
      <c r="E125" s="131">
        <f t="shared" si="54"/>
        <v>32.437275985663085</v>
      </c>
      <c r="F125" s="131">
        <f t="shared" si="54"/>
        <v>29.074074074074076</v>
      </c>
      <c r="G125" s="131">
        <f t="shared" si="54"/>
        <v>33.422939068100362</v>
      </c>
      <c r="H125" s="131">
        <f t="shared" si="54"/>
        <v>32.962962962962962</v>
      </c>
      <c r="I125" s="131">
        <f t="shared" si="54"/>
        <v>19.713261648745519</v>
      </c>
      <c r="J125" s="131">
        <f t="shared" si="54"/>
        <v>13.978494623655912</v>
      </c>
      <c r="K125" s="131">
        <f t="shared" si="54"/>
        <v>26.111111111111114</v>
      </c>
      <c r="L125" s="131">
        <f t="shared" si="54"/>
        <v>17.114695340501793</v>
      </c>
      <c r="M125" s="131">
        <f t="shared" si="54"/>
        <v>17.407407407407408</v>
      </c>
      <c r="N125" s="131">
        <f t="shared" si="54"/>
        <v>13.620071684587815</v>
      </c>
      <c r="O125" s="131">
        <f t="shared" si="54"/>
        <v>25.045662100456624</v>
      </c>
    </row>
    <row r="126" spans="2:15" x14ac:dyDescent="0.25">
      <c r="B126" s="128" t="s">
        <v>77</v>
      </c>
      <c r="C126" s="131">
        <f>C118/C116</f>
        <v>2.8888888888888888</v>
      </c>
      <c r="D126" s="131">
        <f t="shared" ref="D126:O126" si="55">D118/D116</f>
        <v>3.0277777777777777</v>
      </c>
      <c r="E126" s="131">
        <f t="shared" si="55"/>
        <v>3.0555555555555554</v>
      </c>
      <c r="F126" s="131">
        <f t="shared" si="55"/>
        <v>2.9722222222222223</v>
      </c>
      <c r="G126" s="131">
        <f t="shared" si="55"/>
        <v>2.9166666666666665</v>
      </c>
      <c r="H126" s="131">
        <f t="shared" si="55"/>
        <v>3.1666666666666665</v>
      </c>
      <c r="I126" s="131">
        <f t="shared" si="55"/>
        <v>2.2222222222222223</v>
      </c>
      <c r="J126" s="131">
        <f t="shared" si="55"/>
        <v>1.4166666666666667</v>
      </c>
      <c r="K126" s="131">
        <f t="shared" si="55"/>
        <v>2.1666666666666665</v>
      </c>
      <c r="L126" s="131">
        <f t="shared" si="55"/>
        <v>1.9722222222222223</v>
      </c>
      <c r="M126" s="131">
        <f t="shared" si="55"/>
        <v>1.8055555555555556</v>
      </c>
      <c r="N126" s="131">
        <f t="shared" si="55"/>
        <v>1.2777777777777777</v>
      </c>
      <c r="O126" s="131">
        <f t="shared" si="55"/>
        <v>2.4074074074074074</v>
      </c>
    </row>
    <row r="127" spans="2:15" x14ac:dyDescent="0.25">
      <c r="B127" s="128" t="s">
        <v>24</v>
      </c>
      <c r="C127" s="131">
        <f>(C119-C120)/C118</f>
        <v>7.4519230769230766</v>
      </c>
      <c r="D127" s="131">
        <f t="shared" ref="D127:O127" si="56">(D119-D120)/D118</f>
        <v>5.9816513761467887</v>
      </c>
      <c r="E127" s="131">
        <f t="shared" si="56"/>
        <v>6.8545454545454545</v>
      </c>
      <c r="F127" s="131">
        <f t="shared" si="56"/>
        <v>7.1588785046728969</v>
      </c>
      <c r="G127" s="131">
        <f t="shared" si="56"/>
        <v>7.0761904761904759</v>
      </c>
      <c r="H127" s="131">
        <f t="shared" si="56"/>
        <v>6.3508771929824563</v>
      </c>
      <c r="I127" s="131">
        <f t="shared" si="56"/>
        <v>11.2</v>
      </c>
      <c r="J127" s="131">
        <f t="shared" si="56"/>
        <v>18.823529411764707</v>
      </c>
      <c r="K127" s="131">
        <f t="shared" si="56"/>
        <v>10.23076923076923</v>
      </c>
      <c r="L127" s="131">
        <f t="shared" si="56"/>
        <v>13.028169014084508</v>
      </c>
      <c r="M127" s="131">
        <f t="shared" si="56"/>
        <v>13.723076923076922</v>
      </c>
      <c r="N127" s="131">
        <f t="shared" si="56"/>
        <v>20.956521739130434</v>
      </c>
      <c r="O127" s="131">
        <f t="shared" si="56"/>
        <v>9.470192307692308</v>
      </c>
    </row>
    <row r="128" spans="2:15" x14ac:dyDescent="0.25">
      <c r="B128" s="156" t="s">
        <v>98</v>
      </c>
      <c r="C128" s="131">
        <f>C122/C119*100</f>
        <v>32.258064516129032</v>
      </c>
      <c r="D128" s="131">
        <f t="shared" ref="D128:O128" si="57">D122/D119*100</f>
        <v>37.400793650793652</v>
      </c>
      <c r="E128" s="131">
        <f t="shared" si="57"/>
        <v>31.182795698924732</v>
      </c>
      <c r="F128" s="131">
        <f t="shared" si="57"/>
        <v>29.722222222222221</v>
      </c>
      <c r="G128" s="131">
        <f t="shared" si="57"/>
        <v>41.397849462365592</v>
      </c>
      <c r="H128" s="131">
        <f t="shared" si="57"/>
        <v>35.833333333333336</v>
      </c>
      <c r="I128" s="131">
        <f t="shared" si="57"/>
        <v>23.9247311827957</v>
      </c>
      <c r="J128" s="131">
        <f t="shared" si="57"/>
        <v>18.906810035842295</v>
      </c>
      <c r="K128" s="131">
        <f t="shared" si="57"/>
        <v>29.166666666666668</v>
      </c>
      <c r="L128" s="131">
        <f t="shared" si="57"/>
        <v>20.161290322580644</v>
      </c>
      <c r="M128" s="131">
        <f t="shared" si="57"/>
        <v>25.277777777777779</v>
      </c>
      <c r="N128" s="131">
        <f t="shared" si="57"/>
        <v>23.566308243727597</v>
      </c>
      <c r="O128" s="131">
        <f t="shared" si="57"/>
        <v>28.987823439878234</v>
      </c>
    </row>
    <row r="129" spans="2:15" x14ac:dyDescent="0.25">
      <c r="B129" s="128" t="s">
        <v>26</v>
      </c>
      <c r="C129" s="126">
        <v>0</v>
      </c>
      <c r="D129" s="126">
        <v>0</v>
      </c>
      <c r="E129" s="126">
        <v>0</v>
      </c>
      <c r="F129" s="126">
        <v>0</v>
      </c>
      <c r="G129" s="126">
        <v>0</v>
      </c>
      <c r="H129" s="126">
        <v>0</v>
      </c>
      <c r="I129" s="126">
        <v>1</v>
      </c>
      <c r="J129" s="126">
        <f>SUM(J130:J131)</f>
        <v>0</v>
      </c>
      <c r="K129" s="126">
        <f>SUM(K130:K131)</f>
        <v>1</v>
      </c>
      <c r="L129" s="126">
        <f>SUM(L130:L131)</f>
        <v>1</v>
      </c>
      <c r="M129" s="126">
        <f>SUM(M130:M131)</f>
        <v>0</v>
      </c>
      <c r="N129" s="126">
        <f>SUM(N130:N131)</f>
        <v>1</v>
      </c>
      <c r="O129" s="126">
        <f>SUM(C129:N129)</f>
        <v>4</v>
      </c>
    </row>
    <row r="130" spans="2:15" x14ac:dyDescent="0.25">
      <c r="B130" s="128" t="s">
        <v>79</v>
      </c>
      <c r="C130" s="126">
        <v>0</v>
      </c>
      <c r="D130" s="126">
        <v>0</v>
      </c>
      <c r="E130" s="126">
        <v>0</v>
      </c>
      <c r="F130" s="126">
        <v>0</v>
      </c>
      <c r="G130" s="126">
        <v>0</v>
      </c>
      <c r="H130" s="126">
        <v>0</v>
      </c>
      <c r="I130" s="126">
        <v>1</v>
      </c>
      <c r="J130" s="126">
        <v>0</v>
      </c>
      <c r="K130" s="126">
        <v>1</v>
      </c>
      <c r="L130" s="126">
        <v>1</v>
      </c>
      <c r="M130" s="126">
        <v>0</v>
      </c>
      <c r="N130" s="126">
        <v>1</v>
      </c>
      <c r="O130" s="126">
        <f>SUM(C130:N130)</f>
        <v>4</v>
      </c>
    </row>
    <row r="131" spans="2:15" x14ac:dyDescent="0.25">
      <c r="B131" s="128" t="s">
        <v>80</v>
      </c>
      <c r="C131" s="126">
        <v>0</v>
      </c>
      <c r="D131" s="126">
        <v>0</v>
      </c>
      <c r="E131" s="126">
        <v>0</v>
      </c>
      <c r="F131" s="126">
        <v>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126">
        <v>0</v>
      </c>
      <c r="M131" s="126">
        <v>0</v>
      </c>
      <c r="N131" s="126">
        <v>0</v>
      </c>
      <c r="O131" s="126">
        <f>SUM(C131:N131)</f>
        <v>0</v>
      </c>
    </row>
    <row r="132" spans="2:15" x14ac:dyDescent="0.25">
      <c r="B132" s="128" t="s">
        <v>31</v>
      </c>
      <c r="C132" s="126">
        <v>0</v>
      </c>
      <c r="D132" s="126">
        <v>0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126">
        <v>0</v>
      </c>
      <c r="O132" s="126">
        <f>SUM(C132:N132)</f>
        <v>0</v>
      </c>
    </row>
    <row r="133" spans="2:15" x14ac:dyDescent="0.25">
      <c r="B133" s="137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</row>
    <row r="134" spans="2:15" x14ac:dyDescent="0.25">
      <c r="B134" s="138"/>
    </row>
    <row r="135" spans="2:15" ht="15.75" x14ac:dyDescent="0.25">
      <c r="D135" s="190" t="s">
        <v>111</v>
      </c>
      <c r="E135" s="190"/>
      <c r="F135" s="190"/>
      <c r="G135" s="190"/>
      <c r="H135" s="190"/>
      <c r="I135" s="190"/>
      <c r="J135" s="190"/>
      <c r="K135" s="190"/>
      <c r="L135" s="190"/>
      <c r="M135" s="138" t="s">
        <v>57</v>
      </c>
    </row>
    <row r="136" spans="2:15" x14ac:dyDescent="0.25">
      <c r="B136" s="139" t="s">
        <v>57</v>
      </c>
    </row>
    <row r="137" spans="2:15" x14ac:dyDescent="0.25">
      <c r="C137" s="123" t="s">
        <v>1</v>
      </c>
      <c r="D137" s="123" t="s">
        <v>2</v>
      </c>
      <c r="E137" s="123" t="s">
        <v>3</v>
      </c>
      <c r="F137" s="123" t="s">
        <v>4</v>
      </c>
      <c r="G137" s="123" t="s">
        <v>5</v>
      </c>
      <c r="H137" s="123" t="s">
        <v>6</v>
      </c>
      <c r="I137" s="123" t="s">
        <v>7</v>
      </c>
      <c r="J137" s="123" t="s">
        <v>8</v>
      </c>
      <c r="K137" s="123" t="s">
        <v>9</v>
      </c>
      <c r="L137" s="123" t="s">
        <v>10</v>
      </c>
      <c r="M137" s="123" t="s">
        <v>11</v>
      </c>
      <c r="N137" s="123" t="s">
        <v>12</v>
      </c>
      <c r="O137" s="123" t="s">
        <v>13</v>
      </c>
    </row>
    <row r="138" spans="2:15" x14ac:dyDescent="0.25">
      <c r="B138" s="128" t="s">
        <v>14</v>
      </c>
      <c r="C138" s="126">
        <v>8</v>
      </c>
      <c r="D138" s="126">
        <v>8</v>
      </c>
      <c r="E138" s="126">
        <v>8</v>
      </c>
      <c r="F138" s="126">
        <v>8</v>
      </c>
      <c r="G138" s="126">
        <v>8</v>
      </c>
      <c r="H138" s="126">
        <v>8</v>
      </c>
      <c r="I138" s="126">
        <v>8</v>
      </c>
      <c r="J138" s="126">
        <v>8</v>
      </c>
      <c r="K138" s="126">
        <v>8</v>
      </c>
      <c r="L138" s="126">
        <v>8</v>
      </c>
      <c r="M138" s="126">
        <v>8</v>
      </c>
      <c r="N138" s="126">
        <v>8</v>
      </c>
      <c r="O138" s="126">
        <f>SUM(C138:N138)</f>
        <v>96</v>
      </c>
    </row>
    <row r="139" spans="2:15" x14ac:dyDescent="0.25">
      <c r="B139" s="128" t="s">
        <v>15</v>
      </c>
      <c r="C139" s="126">
        <v>13</v>
      </c>
      <c r="D139" s="126">
        <v>22</v>
      </c>
      <c r="E139" s="126">
        <v>12</v>
      </c>
      <c r="F139" s="126">
        <v>29</v>
      </c>
      <c r="G139" s="126">
        <v>38</v>
      </c>
      <c r="H139" s="126">
        <v>14</v>
      </c>
      <c r="I139" s="126">
        <v>15</v>
      </c>
      <c r="J139" s="126">
        <v>6</v>
      </c>
      <c r="K139" s="126">
        <v>26</v>
      </c>
      <c r="L139" s="126">
        <v>26</v>
      </c>
      <c r="M139" s="126">
        <v>25</v>
      </c>
      <c r="N139" s="126">
        <v>25</v>
      </c>
      <c r="O139" s="126">
        <f t="shared" ref="O139:O154" si="58">SUM(C139:N139)</f>
        <v>251</v>
      </c>
    </row>
    <row r="140" spans="2:15" x14ac:dyDescent="0.25">
      <c r="B140" s="128" t="s">
        <v>16</v>
      </c>
      <c r="C140" s="126">
        <v>10</v>
      </c>
      <c r="D140" s="126">
        <v>26</v>
      </c>
      <c r="E140" s="126">
        <v>18</v>
      </c>
      <c r="F140" s="126">
        <v>29</v>
      </c>
      <c r="G140" s="126">
        <v>38</v>
      </c>
      <c r="H140" s="126">
        <v>18</v>
      </c>
      <c r="I140" s="126">
        <v>16</v>
      </c>
      <c r="J140" s="126">
        <v>7</v>
      </c>
      <c r="K140" s="126">
        <v>26</v>
      </c>
      <c r="L140" s="126">
        <v>24</v>
      </c>
      <c r="M140" s="126">
        <v>28</v>
      </c>
      <c r="N140" s="126">
        <v>29</v>
      </c>
      <c r="O140" s="126">
        <f t="shared" si="58"/>
        <v>269</v>
      </c>
    </row>
    <row r="141" spans="2:15" x14ac:dyDescent="0.25">
      <c r="B141" s="128" t="s">
        <v>17</v>
      </c>
      <c r="C141" s="126">
        <v>248</v>
      </c>
      <c r="D141" s="126">
        <v>224</v>
      </c>
      <c r="E141" s="126">
        <v>248</v>
      </c>
      <c r="F141" s="126">
        <v>240</v>
      </c>
      <c r="G141" s="126">
        <v>248</v>
      </c>
      <c r="H141" s="126">
        <v>240</v>
      </c>
      <c r="I141" s="126">
        <v>248</v>
      </c>
      <c r="J141" s="126">
        <f>8*31</f>
        <v>248</v>
      </c>
      <c r="K141" s="126">
        <v>240</v>
      </c>
      <c r="L141" s="126">
        <v>248</v>
      </c>
      <c r="M141" s="126">
        <v>240</v>
      </c>
      <c r="N141" s="126">
        <f>8*31</f>
        <v>248</v>
      </c>
      <c r="O141" s="126">
        <f t="shared" si="58"/>
        <v>2920</v>
      </c>
    </row>
    <row r="142" spans="2:15" x14ac:dyDescent="0.25">
      <c r="B142" s="128" t="s">
        <v>18</v>
      </c>
      <c r="C142" s="126">
        <v>36</v>
      </c>
      <c r="D142" s="126">
        <v>95</v>
      </c>
      <c r="E142" s="126">
        <v>64</v>
      </c>
      <c r="F142" s="126">
        <v>107</v>
      </c>
      <c r="G142" s="126">
        <v>132</v>
      </c>
      <c r="H142" s="126">
        <v>43</v>
      </c>
      <c r="I142" s="126">
        <v>50</v>
      </c>
      <c r="J142" s="126">
        <v>31</v>
      </c>
      <c r="K142" s="126">
        <v>98</v>
      </c>
      <c r="L142" s="126">
        <v>82</v>
      </c>
      <c r="M142" s="126">
        <v>92</v>
      </c>
      <c r="N142" s="126">
        <v>98</v>
      </c>
      <c r="O142" s="126">
        <f t="shared" si="58"/>
        <v>928</v>
      </c>
    </row>
    <row r="143" spans="2:15" x14ac:dyDescent="0.25">
      <c r="B143" s="128" t="s">
        <v>19</v>
      </c>
      <c r="C143" s="126">
        <v>39</v>
      </c>
      <c r="D143" s="126">
        <v>103</v>
      </c>
      <c r="E143" s="126">
        <v>74</v>
      </c>
      <c r="F143" s="126">
        <v>128</v>
      </c>
      <c r="G143" s="126">
        <v>140</v>
      </c>
      <c r="H143" s="126">
        <v>54</v>
      </c>
      <c r="I143" s="126">
        <v>53</v>
      </c>
      <c r="J143" s="126">
        <v>33</v>
      </c>
      <c r="K143" s="126">
        <v>104</v>
      </c>
      <c r="L143" s="126">
        <v>84</v>
      </c>
      <c r="M143" s="126">
        <v>105</v>
      </c>
      <c r="N143" s="126">
        <v>105</v>
      </c>
      <c r="O143" s="126">
        <f t="shared" si="58"/>
        <v>1022</v>
      </c>
    </row>
    <row r="144" spans="2:15" x14ac:dyDescent="0.25">
      <c r="B144" s="128" t="s">
        <v>99</v>
      </c>
      <c r="C144" s="126">
        <f>2+1+1+1+1+1+1+2+2+2+4+4+4+3+2+2+2+2+2+2+4+4+3+2+2+2+3+3+3+5+4</f>
        <v>76</v>
      </c>
      <c r="D144" s="126">
        <f>4+3+2+2+1+1+2+1+1+2+3+3+3+4+3+2+2+6+6+4+7+7+6+6+7+7+6+5</f>
        <v>106</v>
      </c>
      <c r="E144" s="126">
        <f>2+1+1+2+1+1+1+2+4+4+4+4+2+3+3+3+2+2+4+4+3+3+2+2+2+3+2+2+3+3+3</f>
        <v>78</v>
      </c>
      <c r="F144" s="126">
        <f>5+3+3+5+7+6+6+6+5+6+5+6+5+5+2+4+5+7+7+6+5+3+5+7+8+5+5+4+4+4+5</f>
        <v>159</v>
      </c>
      <c r="G144" s="126">
        <f>6+9+7+7+5+5+4+4+7+6+6+6+6+7+7+6+5+4+3+3+4+4+8+10+8+6+4+5+6+5+5</f>
        <v>178</v>
      </c>
      <c r="H144" s="126">
        <f>2+1+2+2+3+4+3+5+4+2+1+2+2+3+3+2+2+2+3+2+2+1+1+2+2+2+4+5+3+3</f>
        <v>75</v>
      </c>
      <c r="I144" s="126">
        <v>81</v>
      </c>
      <c r="J144" s="126">
        <v>69</v>
      </c>
      <c r="K144" s="126">
        <v>125</v>
      </c>
      <c r="L144" s="126">
        <v>64</v>
      </c>
      <c r="M144" s="126">
        <v>77</v>
      </c>
      <c r="N144" s="126"/>
      <c r="O144" s="126">
        <f t="shared" si="58"/>
        <v>1088</v>
      </c>
    </row>
    <row r="145" spans="2:15" x14ac:dyDescent="0.25">
      <c r="B145" s="128" t="s">
        <v>74</v>
      </c>
      <c r="C145" s="131">
        <f>C142/C140</f>
        <v>3.6</v>
      </c>
      <c r="D145" s="131">
        <f t="shared" ref="D145:N145" si="59">D142/D140</f>
        <v>3.6538461538461537</v>
      </c>
      <c r="E145" s="131">
        <f t="shared" si="59"/>
        <v>3.5555555555555554</v>
      </c>
      <c r="F145" s="131">
        <f t="shared" si="59"/>
        <v>3.6896551724137931</v>
      </c>
      <c r="G145" s="131">
        <f t="shared" si="59"/>
        <v>3.4736842105263159</v>
      </c>
      <c r="H145" s="131">
        <f t="shared" si="59"/>
        <v>2.3888888888888888</v>
      </c>
      <c r="I145" s="131">
        <f t="shared" si="59"/>
        <v>3.125</v>
      </c>
      <c r="J145" s="131">
        <f t="shared" si="59"/>
        <v>4.4285714285714288</v>
      </c>
      <c r="K145" s="131">
        <f t="shared" si="59"/>
        <v>3.7692307692307692</v>
      </c>
      <c r="L145" s="131">
        <f t="shared" si="59"/>
        <v>3.4166666666666665</v>
      </c>
      <c r="M145" s="131">
        <f t="shared" si="59"/>
        <v>3.2857142857142856</v>
      </c>
      <c r="N145" s="131">
        <f t="shared" si="59"/>
        <v>3.3793103448275863</v>
      </c>
      <c r="O145" s="131">
        <f>O142/O140</f>
        <v>3.449814126394052</v>
      </c>
    </row>
    <row r="146" spans="2:15" x14ac:dyDescent="0.25">
      <c r="B146" s="128" t="s">
        <v>75</v>
      </c>
      <c r="C146" s="131">
        <f>C143/C140</f>
        <v>3.9</v>
      </c>
      <c r="D146" s="131">
        <f t="shared" ref="D146:N146" si="60">D143/D140</f>
        <v>3.9615384615384617</v>
      </c>
      <c r="E146" s="131">
        <f t="shared" si="60"/>
        <v>4.1111111111111107</v>
      </c>
      <c r="F146" s="131">
        <f t="shared" si="60"/>
        <v>4.4137931034482758</v>
      </c>
      <c r="G146" s="131">
        <f t="shared" si="60"/>
        <v>3.6842105263157894</v>
      </c>
      <c r="H146" s="131">
        <f t="shared" si="60"/>
        <v>3</v>
      </c>
      <c r="I146" s="131">
        <f t="shared" si="60"/>
        <v>3.3125</v>
      </c>
      <c r="J146" s="131">
        <f t="shared" si="60"/>
        <v>4.7142857142857144</v>
      </c>
      <c r="K146" s="131">
        <f t="shared" si="60"/>
        <v>4</v>
      </c>
      <c r="L146" s="131">
        <f t="shared" si="60"/>
        <v>3.5</v>
      </c>
      <c r="M146" s="131">
        <f t="shared" si="60"/>
        <v>3.75</v>
      </c>
      <c r="N146" s="131">
        <f t="shared" si="60"/>
        <v>3.6206896551724137</v>
      </c>
      <c r="O146" s="131">
        <f>O143/O140</f>
        <v>3.7992565055762082</v>
      </c>
    </row>
    <row r="147" spans="2:15" x14ac:dyDescent="0.25">
      <c r="B147" s="128" t="s">
        <v>76</v>
      </c>
      <c r="C147" s="131">
        <f>C142/C141*100</f>
        <v>14.516129032258066</v>
      </c>
      <c r="D147" s="131">
        <f t="shared" ref="D147:O147" si="61">D142/D141*100</f>
        <v>42.410714285714285</v>
      </c>
      <c r="E147" s="131">
        <f t="shared" si="61"/>
        <v>25.806451612903224</v>
      </c>
      <c r="F147" s="131">
        <f t="shared" si="61"/>
        <v>44.583333333333336</v>
      </c>
      <c r="G147" s="131">
        <f t="shared" si="61"/>
        <v>53.225806451612897</v>
      </c>
      <c r="H147" s="131">
        <f t="shared" si="61"/>
        <v>17.916666666666668</v>
      </c>
      <c r="I147" s="131">
        <f t="shared" si="61"/>
        <v>20.161290322580644</v>
      </c>
      <c r="J147" s="131">
        <f t="shared" si="61"/>
        <v>12.5</v>
      </c>
      <c r="K147" s="131">
        <f t="shared" si="61"/>
        <v>40.833333333333336</v>
      </c>
      <c r="L147" s="131">
        <f t="shared" si="61"/>
        <v>33.064516129032256</v>
      </c>
      <c r="M147" s="131">
        <f t="shared" si="61"/>
        <v>38.333333333333336</v>
      </c>
      <c r="N147" s="131">
        <f t="shared" si="61"/>
        <v>39.516129032258064</v>
      </c>
      <c r="O147" s="131">
        <f t="shared" si="61"/>
        <v>31.780821917808222</v>
      </c>
    </row>
    <row r="148" spans="2:15" x14ac:dyDescent="0.25">
      <c r="B148" s="128" t="s">
        <v>77</v>
      </c>
      <c r="C148" s="131">
        <f>SUM(C140/C138)</f>
        <v>1.25</v>
      </c>
      <c r="D148" s="131">
        <f t="shared" ref="D148:O148" si="62">SUM(D140/D138)</f>
        <v>3.25</v>
      </c>
      <c r="E148" s="131">
        <f t="shared" si="62"/>
        <v>2.25</v>
      </c>
      <c r="F148" s="131">
        <f t="shared" si="62"/>
        <v>3.625</v>
      </c>
      <c r="G148" s="131">
        <f t="shared" si="62"/>
        <v>4.75</v>
      </c>
      <c r="H148" s="131">
        <f t="shared" si="62"/>
        <v>2.25</v>
      </c>
      <c r="I148" s="131">
        <f t="shared" si="62"/>
        <v>2</v>
      </c>
      <c r="J148" s="131">
        <f t="shared" si="62"/>
        <v>0.875</v>
      </c>
      <c r="K148" s="131">
        <f t="shared" si="62"/>
        <v>3.25</v>
      </c>
      <c r="L148" s="131">
        <f t="shared" si="62"/>
        <v>3</v>
      </c>
      <c r="M148" s="131">
        <f t="shared" si="62"/>
        <v>3.5</v>
      </c>
      <c r="N148" s="131">
        <f t="shared" si="62"/>
        <v>3.625</v>
      </c>
      <c r="O148" s="131">
        <f t="shared" si="62"/>
        <v>2.8020833333333335</v>
      </c>
    </row>
    <row r="149" spans="2:15" x14ac:dyDescent="0.25">
      <c r="B149" s="128" t="s">
        <v>24</v>
      </c>
      <c r="C149" s="131">
        <f t="shared" ref="C149:O149" si="63">(C141-C142)/C140</f>
        <v>21.2</v>
      </c>
      <c r="D149" s="131">
        <f t="shared" si="63"/>
        <v>4.9615384615384617</v>
      </c>
      <c r="E149" s="131">
        <f t="shared" si="63"/>
        <v>10.222222222222221</v>
      </c>
      <c r="F149" s="131">
        <f t="shared" si="63"/>
        <v>4.5862068965517242</v>
      </c>
      <c r="G149" s="131">
        <f t="shared" si="63"/>
        <v>3.0526315789473686</v>
      </c>
      <c r="H149" s="131">
        <f t="shared" si="63"/>
        <v>10.944444444444445</v>
      </c>
      <c r="I149" s="131">
        <f t="shared" si="63"/>
        <v>12.375</v>
      </c>
      <c r="J149" s="131">
        <f t="shared" si="63"/>
        <v>31</v>
      </c>
      <c r="K149" s="131">
        <f t="shared" si="63"/>
        <v>5.4615384615384617</v>
      </c>
      <c r="L149" s="131">
        <f t="shared" si="63"/>
        <v>6.916666666666667</v>
      </c>
      <c r="M149" s="131">
        <f t="shared" si="63"/>
        <v>5.2857142857142856</v>
      </c>
      <c r="N149" s="131">
        <f t="shared" si="63"/>
        <v>5.1724137931034484</v>
      </c>
      <c r="O149" s="131">
        <f t="shared" si="63"/>
        <v>7.4052044609665426</v>
      </c>
    </row>
    <row r="150" spans="2:15" x14ac:dyDescent="0.25">
      <c r="B150" s="128" t="s">
        <v>94</v>
      </c>
      <c r="C150" s="131">
        <f>C144/C141*100</f>
        <v>30.64516129032258</v>
      </c>
      <c r="D150" s="131">
        <f t="shared" ref="D150:O150" si="64">D144/D141*100</f>
        <v>47.321428571428569</v>
      </c>
      <c r="E150" s="131">
        <f t="shared" si="64"/>
        <v>31.451612903225808</v>
      </c>
      <c r="F150" s="131">
        <f t="shared" si="64"/>
        <v>66.25</v>
      </c>
      <c r="G150" s="131">
        <f t="shared" si="64"/>
        <v>71.774193548387103</v>
      </c>
      <c r="H150" s="131">
        <f t="shared" si="64"/>
        <v>31.25</v>
      </c>
      <c r="I150" s="131">
        <f t="shared" si="64"/>
        <v>32.661290322580641</v>
      </c>
      <c r="J150" s="131">
        <f t="shared" si="64"/>
        <v>27.822580645161288</v>
      </c>
      <c r="K150" s="131">
        <f t="shared" si="64"/>
        <v>52.083333333333336</v>
      </c>
      <c r="L150" s="131">
        <f t="shared" si="64"/>
        <v>25.806451612903224</v>
      </c>
      <c r="M150" s="131">
        <f t="shared" si="64"/>
        <v>32.083333333333336</v>
      </c>
      <c r="N150" s="165">
        <f t="shared" si="64"/>
        <v>0</v>
      </c>
      <c r="O150" s="165">
        <f t="shared" si="64"/>
        <v>37.260273972602739</v>
      </c>
    </row>
    <row r="151" spans="2:15" x14ac:dyDescent="0.25">
      <c r="B151" s="128" t="s">
        <v>26</v>
      </c>
      <c r="C151" s="126">
        <v>0</v>
      </c>
      <c r="D151" s="126">
        <v>0</v>
      </c>
      <c r="E151" s="126">
        <v>0</v>
      </c>
      <c r="F151" s="126">
        <v>0</v>
      </c>
      <c r="G151" s="126">
        <v>0</v>
      </c>
      <c r="H151" s="126">
        <v>0</v>
      </c>
      <c r="I151" s="126">
        <v>0</v>
      </c>
      <c r="J151" s="126">
        <f>SUM(J152:J153)</f>
        <v>0</v>
      </c>
      <c r="K151" s="126">
        <f>SUM(K152:K153)</f>
        <v>0</v>
      </c>
      <c r="L151" s="126">
        <f>SUM(L152:L153)</f>
        <v>0</v>
      </c>
      <c r="M151" s="126">
        <f>SUM(M152:M153)</f>
        <v>1</v>
      </c>
      <c r="N151" s="126">
        <f>SUM(N152:N153)</f>
        <v>0</v>
      </c>
      <c r="O151" s="126">
        <f t="shared" si="58"/>
        <v>1</v>
      </c>
    </row>
    <row r="152" spans="2:15" x14ac:dyDescent="0.25">
      <c r="B152" s="128" t="s">
        <v>79</v>
      </c>
      <c r="C152" s="126">
        <v>0</v>
      </c>
      <c r="D152" s="126">
        <v>0</v>
      </c>
      <c r="E152" s="126">
        <v>0</v>
      </c>
      <c r="F152" s="126">
        <v>0</v>
      </c>
      <c r="G152" s="126">
        <v>0</v>
      </c>
      <c r="H152" s="126">
        <v>0</v>
      </c>
      <c r="I152" s="126">
        <v>0</v>
      </c>
      <c r="J152" s="126">
        <v>0</v>
      </c>
      <c r="K152" s="126">
        <v>0</v>
      </c>
      <c r="L152" s="126">
        <v>0</v>
      </c>
      <c r="M152" s="126">
        <v>1</v>
      </c>
      <c r="N152" s="126">
        <v>0</v>
      </c>
      <c r="O152" s="126">
        <f t="shared" si="58"/>
        <v>1</v>
      </c>
    </row>
    <row r="153" spans="2:15" x14ac:dyDescent="0.25">
      <c r="B153" s="128" t="s">
        <v>80</v>
      </c>
      <c r="C153" s="126">
        <v>0</v>
      </c>
      <c r="D153" s="126">
        <v>0</v>
      </c>
      <c r="E153" s="126">
        <v>0</v>
      </c>
      <c r="F153" s="126">
        <v>0</v>
      </c>
      <c r="G153" s="126">
        <v>0</v>
      </c>
      <c r="H153" s="126">
        <v>0</v>
      </c>
      <c r="I153" s="126">
        <v>0</v>
      </c>
      <c r="J153" s="126">
        <v>0</v>
      </c>
      <c r="K153" s="126">
        <v>0</v>
      </c>
      <c r="L153" s="126">
        <v>0</v>
      </c>
      <c r="M153" s="126">
        <v>0</v>
      </c>
      <c r="N153" s="126">
        <v>0</v>
      </c>
      <c r="O153" s="126">
        <f t="shared" si="58"/>
        <v>0</v>
      </c>
    </row>
    <row r="154" spans="2:15" x14ac:dyDescent="0.25">
      <c r="B154" s="128" t="s">
        <v>31</v>
      </c>
      <c r="C154" s="126">
        <v>1</v>
      </c>
      <c r="D154" s="126">
        <v>0</v>
      </c>
      <c r="E154" s="126">
        <v>1</v>
      </c>
      <c r="F154" s="126">
        <v>0</v>
      </c>
      <c r="G154" s="126">
        <v>6</v>
      </c>
      <c r="H154" s="126">
        <v>0</v>
      </c>
      <c r="I154" s="126">
        <v>0</v>
      </c>
      <c r="J154" s="126">
        <v>1</v>
      </c>
      <c r="K154" s="126">
        <v>1</v>
      </c>
      <c r="L154" s="126">
        <v>3</v>
      </c>
      <c r="M154" s="126">
        <v>0</v>
      </c>
      <c r="N154" s="126">
        <v>1</v>
      </c>
      <c r="O154" s="126">
        <f t="shared" si="58"/>
        <v>14</v>
      </c>
    </row>
    <row r="156" spans="2:15" ht="15.75" x14ac:dyDescent="0.25">
      <c r="C156" s="167"/>
      <c r="D156" s="167"/>
      <c r="E156" s="167"/>
      <c r="F156" s="167"/>
      <c r="G156" s="167"/>
      <c r="H156" s="167"/>
      <c r="I156" s="167"/>
      <c r="J156" s="167"/>
    </row>
    <row r="157" spans="2:15" ht="15.75" x14ac:dyDescent="0.25">
      <c r="C157" s="190" t="s">
        <v>111</v>
      </c>
      <c r="D157" s="190"/>
      <c r="E157" s="190"/>
      <c r="F157" s="190"/>
      <c r="G157" s="190"/>
      <c r="H157" s="190"/>
      <c r="I157" s="190"/>
      <c r="J157" s="190"/>
    </row>
    <row r="158" spans="2:15" x14ac:dyDescent="0.25">
      <c r="B158" s="139" t="s">
        <v>58</v>
      </c>
      <c r="M158" s="138" t="s">
        <v>58</v>
      </c>
    </row>
    <row r="159" spans="2:15" x14ac:dyDescent="0.25">
      <c r="C159" s="123" t="s">
        <v>1</v>
      </c>
      <c r="D159" s="168" t="s">
        <v>2</v>
      </c>
      <c r="E159" s="123" t="s">
        <v>3</v>
      </c>
      <c r="F159" s="123" t="s">
        <v>4</v>
      </c>
      <c r="G159" s="123" t="s">
        <v>5</v>
      </c>
      <c r="H159" s="123" t="s">
        <v>6</v>
      </c>
      <c r="I159" s="123" t="s">
        <v>7</v>
      </c>
      <c r="J159" s="123" t="s">
        <v>8</v>
      </c>
      <c r="K159" s="169" t="s">
        <v>9</v>
      </c>
      <c r="L159" s="168" t="s">
        <v>10</v>
      </c>
      <c r="M159" s="168" t="s">
        <v>11</v>
      </c>
      <c r="N159" s="168" t="s">
        <v>12</v>
      </c>
      <c r="O159" s="123" t="s">
        <v>13</v>
      </c>
    </row>
    <row r="160" spans="2:15" x14ac:dyDescent="0.25">
      <c r="B160" s="128" t="s">
        <v>14</v>
      </c>
      <c r="C160" s="126">
        <v>31</v>
      </c>
      <c r="D160" s="126">
        <v>31</v>
      </c>
      <c r="E160" s="126">
        <v>31</v>
      </c>
      <c r="F160" s="126">
        <v>31</v>
      </c>
      <c r="G160" s="126">
        <v>31</v>
      </c>
      <c r="H160" s="126">
        <v>31</v>
      </c>
      <c r="I160" s="126">
        <v>31</v>
      </c>
      <c r="J160" s="126">
        <v>31</v>
      </c>
      <c r="K160" s="126">
        <v>31</v>
      </c>
      <c r="L160" s="126">
        <v>31</v>
      </c>
      <c r="M160" s="126">
        <v>31</v>
      </c>
      <c r="N160" s="126">
        <v>31</v>
      </c>
      <c r="O160" s="126">
        <f>SUM(C160:N160)</f>
        <v>372</v>
      </c>
    </row>
    <row r="161" spans="2:15" x14ac:dyDescent="0.25">
      <c r="B161" s="128" t="s">
        <v>15</v>
      </c>
      <c r="C161" s="126">
        <v>319</v>
      </c>
      <c r="D161" s="126">
        <v>341</v>
      </c>
      <c r="E161" s="126">
        <v>347</v>
      </c>
      <c r="F161" s="126">
        <v>331</v>
      </c>
      <c r="G161" s="126">
        <v>392</v>
      </c>
      <c r="H161" s="126">
        <v>352</v>
      </c>
      <c r="I161" s="126">
        <v>369</v>
      </c>
      <c r="J161" s="126">
        <v>345</v>
      </c>
      <c r="K161" s="126">
        <v>355</v>
      </c>
      <c r="L161" s="126">
        <v>352</v>
      </c>
      <c r="M161" s="126">
        <v>316</v>
      </c>
      <c r="N161" s="126">
        <v>327</v>
      </c>
      <c r="O161" s="126">
        <f t="shared" ref="O161:O194" si="65">SUM(C161:N161)</f>
        <v>4146</v>
      </c>
    </row>
    <row r="162" spans="2:15" x14ac:dyDescent="0.25">
      <c r="B162" s="128" t="s">
        <v>16</v>
      </c>
      <c r="C162" s="126">
        <v>313</v>
      </c>
      <c r="D162" s="126">
        <v>323</v>
      </c>
      <c r="E162" s="126">
        <v>347</v>
      </c>
      <c r="F162" s="126">
        <v>326</v>
      </c>
      <c r="G162" s="126">
        <v>382</v>
      </c>
      <c r="H162" s="126">
        <v>363</v>
      </c>
      <c r="I162" s="126">
        <v>361</v>
      </c>
      <c r="J162" s="126">
        <v>338</v>
      </c>
      <c r="K162" s="126">
        <v>355</v>
      </c>
      <c r="L162" s="126">
        <v>337</v>
      </c>
      <c r="M162" s="126">
        <v>302</v>
      </c>
      <c r="N162" s="126">
        <v>338</v>
      </c>
      <c r="O162" s="126">
        <f t="shared" si="65"/>
        <v>4085</v>
      </c>
    </row>
    <row r="163" spans="2:15" x14ac:dyDescent="0.25">
      <c r="B163" s="128" t="s">
        <v>17</v>
      </c>
      <c r="C163" s="126">
        <v>961</v>
      </c>
      <c r="D163" s="126">
        <v>868</v>
      </c>
      <c r="E163" s="126">
        <v>961</v>
      </c>
      <c r="F163" s="126">
        <v>930</v>
      </c>
      <c r="G163" s="126">
        <v>961</v>
      </c>
      <c r="H163" s="126">
        <v>930</v>
      </c>
      <c r="I163" s="126">
        <v>961</v>
      </c>
      <c r="J163" s="126">
        <f>31*31</f>
        <v>961</v>
      </c>
      <c r="K163" s="126">
        <v>930</v>
      </c>
      <c r="L163" s="126">
        <v>961</v>
      </c>
      <c r="M163" s="126">
        <v>930</v>
      </c>
      <c r="N163" s="126">
        <f>31*31</f>
        <v>961</v>
      </c>
      <c r="O163" s="126">
        <f t="shared" si="65"/>
        <v>11315</v>
      </c>
    </row>
    <row r="164" spans="2:15" x14ac:dyDescent="0.25">
      <c r="B164" s="128" t="s">
        <v>18</v>
      </c>
      <c r="C164" s="126">
        <v>579</v>
      </c>
      <c r="D164" s="126">
        <v>1014</v>
      </c>
      <c r="E164" s="126">
        <v>642</v>
      </c>
      <c r="F164" s="126">
        <v>630</v>
      </c>
      <c r="G164" s="126">
        <v>725</v>
      </c>
      <c r="H164" s="126">
        <v>692</v>
      </c>
      <c r="I164" s="126">
        <v>716</v>
      </c>
      <c r="J164" s="126">
        <v>623</v>
      </c>
      <c r="K164" s="126">
        <v>721</v>
      </c>
      <c r="L164" s="126">
        <v>681</v>
      </c>
      <c r="M164" s="126">
        <v>552</v>
      </c>
      <c r="N164" s="126">
        <v>592</v>
      </c>
      <c r="O164" s="126">
        <f t="shared" si="65"/>
        <v>8167</v>
      </c>
    </row>
    <row r="165" spans="2:15" x14ac:dyDescent="0.25">
      <c r="B165" s="128" t="s">
        <v>19</v>
      </c>
      <c r="C165" s="126">
        <v>580</v>
      </c>
      <c r="D165" s="126">
        <v>1021</v>
      </c>
      <c r="E165" s="126">
        <v>666</v>
      </c>
      <c r="F165" s="126">
        <v>660</v>
      </c>
      <c r="G165" s="126">
        <v>740</v>
      </c>
      <c r="H165" s="126">
        <v>745</v>
      </c>
      <c r="I165" s="126">
        <v>723</v>
      </c>
      <c r="J165" s="126">
        <v>646</v>
      </c>
      <c r="K165" s="126">
        <v>784</v>
      </c>
      <c r="L165" s="126">
        <v>685</v>
      </c>
      <c r="M165" s="126">
        <v>565</v>
      </c>
      <c r="N165" s="126">
        <v>642</v>
      </c>
      <c r="O165" s="126">
        <f t="shared" si="65"/>
        <v>8457</v>
      </c>
    </row>
    <row r="166" spans="2:15" x14ac:dyDescent="0.25">
      <c r="B166" s="128" t="s">
        <v>100</v>
      </c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</row>
    <row r="167" spans="2:15" x14ac:dyDescent="0.25">
      <c r="B167" s="128" t="s">
        <v>74</v>
      </c>
      <c r="C167" s="131">
        <f>C164/C162</f>
        <v>1.8498402555910542</v>
      </c>
      <c r="D167" s="131">
        <f t="shared" ref="D167:O167" si="66">D164/D162</f>
        <v>3.1393188854489162</v>
      </c>
      <c r="E167" s="131">
        <f t="shared" si="66"/>
        <v>1.8501440922190202</v>
      </c>
      <c r="F167" s="131">
        <f t="shared" si="66"/>
        <v>1.9325153374233128</v>
      </c>
      <c r="G167" s="131">
        <f t="shared" si="66"/>
        <v>1.8979057591623036</v>
      </c>
      <c r="H167" s="131">
        <f t="shared" si="66"/>
        <v>1.9063360881542699</v>
      </c>
      <c r="I167" s="131">
        <f t="shared" si="66"/>
        <v>1.9833795013850415</v>
      </c>
      <c r="J167" s="131">
        <f t="shared" si="66"/>
        <v>1.8431952662721893</v>
      </c>
      <c r="K167" s="131">
        <f t="shared" si="66"/>
        <v>2.0309859154929577</v>
      </c>
      <c r="L167" s="131">
        <f t="shared" si="66"/>
        <v>2.0207715133531159</v>
      </c>
      <c r="M167" s="131">
        <f t="shared" si="66"/>
        <v>1.8278145695364238</v>
      </c>
      <c r="N167" s="131">
        <f t="shared" si="66"/>
        <v>1.7514792899408285</v>
      </c>
      <c r="O167" s="131">
        <f t="shared" si="66"/>
        <v>1.999265605875153</v>
      </c>
    </row>
    <row r="168" spans="2:15" x14ac:dyDescent="0.25">
      <c r="B168" s="183" t="s">
        <v>59</v>
      </c>
      <c r="C168" s="129">
        <v>539</v>
      </c>
      <c r="D168" s="129">
        <v>661</v>
      </c>
      <c r="E168" s="129">
        <v>618</v>
      </c>
      <c r="F168" s="129">
        <v>576</v>
      </c>
      <c r="G168" s="129">
        <v>789</v>
      </c>
      <c r="H168" s="129">
        <v>677</v>
      </c>
      <c r="I168" s="129">
        <v>942</v>
      </c>
      <c r="J168" s="129">
        <v>991</v>
      </c>
      <c r="K168" s="129">
        <v>801</v>
      </c>
      <c r="L168" s="129">
        <v>820</v>
      </c>
      <c r="M168" s="129">
        <v>884</v>
      </c>
      <c r="N168" s="129">
        <v>889</v>
      </c>
      <c r="O168" s="129">
        <f>SUM(C168:N168)</f>
        <v>9187</v>
      </c>
    </row>
    <row r="169" spans="2:15" x14ac:dyDescent="0.25">
      <c r="B169" s="128" t="s">
        <v>75</v>
      </c>
      <c r="C169" s="131">
        <f t="shared" ref="C169:O169" si="67">C165/C162</f>
        <v>1.8530351437699681</v>
      </c>
      <c r="D169" s="131">
        <f t="shared" si="67"/>
        <v>3.1609907120743035</v>
      </c>
      <c r="E169" s="131">
        <f t="shared" si="67"/>
        <v>1.9193083573487031</v>
      </c>
      <c r="F169" s="131">
        <f t="shared" si="67"/>
        <v>2.0245398773006134</v>
      </c>
      <c r="G169" s="131">
        <f t="shared" si="67"/>
        <v>1.9371727748691099</v>
      </c>
      <c r="H169" s="131">
        <f t="shared" si="67"/>
        <v>2.0523415977961434</v>
      </c>
      <c r="I169" s="131">
        <f t="shared" si="67"/>
        <v>2.0027700831024933</v>
      </c>
      <c r="J169" s="131">
        <f t="shared" si="67"/>
        <v>1.9112426035502958</v>
      </c>
      <c r="K169" s="131">
        <f t="shared" si="67"/>
        <v>2.2084507042253523</v>
      </c>
      <c r="L169" s="131">
        <f t="shared" si="67"/>
        <v>2.0326409495548963</v>
      </c>
      <c r="M169" s="131">
        <f t="shared" si="67"/>
        <v>1.8708609271523178</v>
      </c>
      <c r="N169" s="131">
        <f t="shared" si="67"/>
        <v>1.8994082840236686</v>
      </c>
      <c r="O169" s="131">
        <f t="shared" si="67"/>
        <v>2.0702570379436964</v>
      </c>
    </row>
    <row r="170" spans="2:15" x14ac:dyDescent="0.25">
      <c r="B170" s="128" t="s">
        <v>76</v>
      </c>
      <c r="C170" s="131">
        <f t="shared" ref="C170:O170" si="68">C164/C163*100</f>
        <v>60.24973985431842</v>
      </c>
      <c r="D170" s="131">
        <f t="shared" si="68"/>
        <v>116.82027649769586</v>
      </c>
      <c r="E170" s="131">
        <f t="shared" si="68"/>
        <v>66.805411030176899</v>
      </c>
      <c r="F170" s="131">
        <f t="shared" si="68"/>
        <v>67.741935483870961</v>
      </c>
      <c r="G170" s="131">
        <f t="shared" si="68"/>
        <v>75.442247658688871</v>
      </c>
      <c r="H170" s="131">
        <f t="shared" si="68"/>
        <v>74.408602150537632</v>
      </c>
      <c r="I170" s="131">
        <f t="shared" si="68"/>
        <v>74.505723204994794</v>
      </c>
      <c r="J170" s="131">
        <f t="shared" si="68"/>
        <v>64.82830385015609</v>
      </c>
      <c r="K170" s="131">
        <f t="shared" si="68"/>
        <v>77.526881720430111</v>
      </c>
      <c r="L170" s="131">
        <f t="shared" si="68"/>
        <v>70.863683662851201</v>
      </c>
      <c r="M170" s="131">
        <f t="shared" si="68"/>
        <v>59.354838709677416</v>
      </c>
      <c r="N170" s="131">
        <f t="shared" si="68"/>
        <v>61.602497398543186</v>
      </c>
      <c r="O170" s="131">
        <f t="shared" si="68"/>
        <v>72.178524083075573</v>
      </c>
    </row>
    <row r="171" spans="2:15" x14ac:dyDescent="0.25">
      <c r="B171" s="128" t="s">
        <v>77</v>
      </c>
      <c r="C171" s="131">
        <f>C162/C160</f>
        <v>10.096774193548388</v>
      </c>
      <c r="D171" s="131">
        <f t="shared" ref="D171:O171" si="69">D162/D160</f>
        <v>10.419354838709678</v>
      </c>
      <c r="E171" s="131">
        <f t="shared" si="69"/>
        <v>11.193548387096774</v>
      </c>
      <c r="F171" s="131">
        <f t="shared" si="69"/>
        <v>10.516129032258064</v>
      </c>
      <c r="G171" s="131">
        <f t="shared" si="69"/>
        <v>12.32258064516129</v>
      </c>
      <c r="H171" s="131">
        <f t="shared" si="69"/>
        <v>11.709677419354838</v>
      </c>
      <c r="I171" s="131">
        <f t="shared" si="69"/>
        <v>11.64516129032258</v>
      </c>
      <c r="J171" s="131">
        <f t="shared" si="69"/>
        <v>10.903225806451612</v>
      </c>
      <c r="K171" s="131">
        <f t="shared" si="69"/>
        <v>11.451612903225806</v>
      </c>
      <c r="L171" s="131">
        <f t="shared" si="69"/>
        <v>10.870967741935484</v>
      </c>
      <c r="M171" s="131">
        <f t="shared" si="69"/>
        <v>9.741935483870968</v>
      </c>
      <c r="N171" s="131">
        <f t="shared" si="69"/>
        <v>10.903225806451612</v>
      </c>
      <c r="O171" s="131">
        <f t="shared" si="69"/>
        <v>10.981182795698924</v>
      </c>
    </row>
    <row r="172" spans="2:15" x14ac:dyDescent="0.25">
      <c r="B172" s="128" t="s">
        <v>24</v>
      </c>
      <c r="C172" s="131">
        <f>(C163-C164)/C162</f>
        <v>1.220447284345048</v>
      </c>
      <c r="D172" s="131">
        <f t="shared" ref="D172:O172" si="70">(D163-D164)/D162</f>
        <v>-0.45201238390092879</v>
      </c>
      <c r="E172" s="131">
        <f t="shared" si="70"/>
        <v>0.9193083573487032</v>
      </c>
      <c r="F172" s="131">
        <f t="shared" si="70"/>
        <v>0.92024539877300615</v>
      </c>
      <c r="G172" s="131">
        <f t="shared" si="70"/>
        <v>0.61780104712041883</v>
      </c>
      <c r="H172" s="131">
        <f t="shared" si="70"/>
        <v>0.65564738292011016</v>
      </c>
      <c r="I172" s="131">
        <f t="shared" si="70"/>
        <v>0.67867036011080328</v>
      </c>
      <c r="J172" s="131">
        <f t="shared" si="70"/>
        <v>1</v>
      </c>
      <c r="K172" s="131">
        <f t="shared" si="70"/>
        <v>0.58873239436619718</v>
      </c>
      <c r="L172" s="131">
        <f t="shared" si="70"/>
        <v>0.83086053412462912</v>
      </c>
      <c r="M172" s="131">
        <f t="shared" si="70"/>
        <v>1.2516556291390728</v>
      </c>
      <c r="N172" s="131">
        <f t="shared" si="70"/>
        <v>1.0917159763313609</v>
      </c>
      <c r="O172" s="131">
        <f t="shared" si="70"/>
        <v>0.77062423500611998</v>
      </c>
    </row>
    <row r="173" spans="2:15" x14ac:dyDescent="0.25">
      <c r="B173" s="128"/>
      <c r="C173" s="131"/>
      <c r="D173" s="126"/>
      <c r="E173" s="131"/>
      <c r="F173" s="131"/>
      <c r="G173" s="126"/>
      <c r="H173" s="126"/>
      <c r="I173" s="126"/>
      <c r="J173" s="126"/>
      <c r="K173" s="126"/>
      <c r="L173" s="126"/>
      <c r="M173" s="126"/>
      <c r="N173" s="126"/>
      <c r="O173" s="126"/>
    </row>
    <row r="174" spans="2:15" x14ac:dyDescent="0.25">
      <c r="B174" s="183" t="s">
        <v>94</v>
      </c>
      <c r="C174" s="131">
        <f>C168/C163*100</f>
        <v>56.08740894901144</v>
      </c>
      <c r="D174" s="131">
        <f t="shared" ref="D174:O174" si="71">D168/D163*100</f>
        <v>76.15207373271889</v>
      </c>
      <c r="E174" s="131">
        <f t="shared" si="71"/>
        <v>64.308012486992709</v>
      </c>
      <c r="F174" s="131">
        <f t="shared" si="71"/>
        <v>61.935483870967744</v>
      </c>
      <c r="G174" s="131">
        <f t="shared" si="71"/>
        <v>82.101977107180019</v>
      </c>
      <c r="H174" s="131">
        <f t="shared" si="71"/>
        <v>72.795698924731184</v>
      </c>
      <c r="I174" s="131">
        <f t="shared" si="71"/>
        <v>98.022892819979191</v>
      </c>
      <c r="J174" s="131">
        <f t="shared" si="71"/>
        <v>103.12174817898023</v>
      </c>
      <c r="K174" s="131">
        <f t="shared" si="71"/>
        <v>86.129032258064512</v>
      </c>
      <c r="L174" s="131">
        <f t="shared" si="71"/>
        <v>85.32778355879293</v>
      </c>
      <c r="M174" s="131">
        <f t="shared" si="71"/>
        <v>95.053763440860223</v>
      </c>
      <c r="N174" s="131">
        <f t="shared" si="71"/>
        <v>92.50780437044746</v>
      </c>
      <c r="O174" s="131">
        <f t="shared" si="71"/>
        <v>81.193106495802041</v>
      </c>
    </row>
    <row r="175" spans="2:15" x14ac:dyDescent="0.25">
      <c r="B175" s="128" t="s">
        <v>26</v>
      </c>
      <c r="C175" s="126">
        <v>0</v>
      </c>
      <c r="D175" s="126">
        <v>0</v>
      </c>
      <c r="E175" s="126">
        <v>0</v>
      </c>
      <c r="F175" s="126">
        <v>0</v>
      </c>
      <c r="G175" s="126">
        <v>0</v>
      </c>
      <c r="H175" s="126">
        <v>0</v>
      </c>
      <c r="I175" s="126">
        <v>0</v>
      </c>
      <c r="J175" s="126">
        <f>SUM(J177:J178)</f>
        <v>0</v>
      </c>
      <c r="K175" s="126">
        <f>SUM(K177:K178)</f>
        <v>0</v>
      </c>
      <c r="L175" s="126">
        <f>SUM(L177:L178)</f>
        <v>0</v>
      </c>
      <c r="M175" s="126">
        <f>SUM(M177:M178)</f>
        <v>0</v>
      </c>
      <c r="N175" s="126">
        <f>SUM(N177:N178)</f>
        <v>0</v>
      </c>
      <c r="O175" s="126">
        <f t="shared" si="65"/>
        <v>0</v>
      </c>
    </row>
    <row r="176" spans="2:15" x14ac:dyDescent="0.25">
      <c r="B176" s="128" t="s">
        <v>79</v>
      </c>
      <c r="C176" s="126">
        <v>0</v>
      </c>
      <c r="D176" s="126">
        <v>0</v>
      </c>
      <c r="E176" s="126">
        <v>0</v>
      </c>
      <c r="F176" s="126">
        <v>0</v>
      </c>
      <c r="G176" s="126">
        <v>0</v>
      </c>
      <c r="H176" s="126">
        <v>0</v>
      </c>
      <c r="I176" s="126">
        <v>0</v>
      </c>
      <c r="J176" s="126">
        <v>0</v>
      </c>
      <c r="K176" s="126">
        <v>0</v>
      </c>
      <c r="L176" s="126">
        <v>0</v>
      </c>
      <c r="M176" s="126">
        <v>0</v>
      </c>
      <c r="N176" s="126">
        <v>0</v>
      </c>
      <c r="O176" s="126">
        <f t="shared" si="65"/>
        <v>0</v>
      </c>
    </row>
    <row r="177" spans="2:15" x14ac:dyDescent="0.25">
      <c r="B177" s="128" t="s">
        <v>80</v>
      </c>
      <c r="C177" s="126">
        <v>0</v>
      </c>
      <c r="D177" s="126">
        <v>0</v>
      </c>
      <c r="E177" s="126">
        <v>0</v>
      </c>
      <c r="F177" s="126">
        <v>0</v>
      </c>
      <c r="G177" s="126">
        <v>0</v>
      </c>
      <c r="H177" s="126">
        <v>0</v>
      </c>
      <c r="I177" s="126">
        <v>0</v>
      </c>
      <c r="J177" s="126">
        <v>0</v>
      </c>
      <c r="K177" s="126">
        <v>0</v>
      </c>
      <c r="L177" s="126">
        <v>0</v>
      </c>
      <c r="M177" s="126">
        <v>0</v>
      </c>
      <c r="N177" s="126">
        <v>0</v>
      </c>
      <c r="O177" s="126">
        <f t="shared" si="65"/>
        <v>0</v>
      </c>
    </row>
    <row r="178" spans="2:15" x14ac:dyDescent="0.25">
      <c r="B178" s="128" t="s">
        <v>31</v>
      </c>
      <c r="C178" s="126">
        <v>0</v>
      </c>
      <c r="D178" s="126">
        <v>0</v>
      </c>
      <c r="E178" s="126">
        <v>0</v>
      </c>
      <c r="F178" s="126">
        <v>3</v>
      </c>
      <c r="G178" s="126">
        <v>1</v>
      </c>
      <c r="H178" s="126">
        <v>0</v>
      </c>
      <c r="I178" s="126">
        <v>0</v>
      </c>
      <c r="J178" s="126">
        <v>0</v>
      </c>
      <c r="K178" s="126">
        <v>0</v>
      </c>
      <c r="L178" s="126">
        <v>0</v>
      </c>
      <c r="M178" s="180">
        <v>0</v>
      </c>
      <c r="N178" s="126">
        <v>0</v>
      </c>
      <c r="O178" s="126">
        <f t="shared" si="65"/>
        <v>4</v>
      </c>
    </row>
    <row r="179" spans="2:15" x14ac:dyDescent="0.25">
      <c r="B179" s="128" t="s">
        <v>60</v>
      </c>
      <c r="C179" s="126">
        <v>224</v>
      </c>
      <c r="D179" s="126">
        <v>237</v>
      </c>
      <c r="E179" s="181">
        <v>246</v>
      </c>
      <c r="F179" s="126">
        <v>236</v>
      </c>
      <c r="G179" s="126">
        <v>278</v>
      </c>
      <c r="H179" s="126">
        <v>241</v>
      </c>
      <c r="I179" s="126">
        <v>277</v>
      </c>
      <c r="J179" s="126">
        <v>240</v>
      </c>
      <c r="K179" s="126">
        <v>241</v>
      </c>
      <c r="L179" s="126">
        <v>251</v>
      </c>
      <c r="M179" s="126">
        <v>225</v>
      </c>
      <c r="N179" s="126">
        <v>239</v>
      </c>
      <c r="O179" s="126">
        <f t="shared" si="65"/>
        <v>2935</v>
      </c>
    </row>
    <row r="180" spans="2:15" x14ac:dyDescent="0.25">
      <c r="B180" s="128" t="s">
        <v>34</v>
      </c>
      <c r="C180" s="126">
        <v>223</v>
      </c>
      <c r="D180" s="126">
        <v>241</v>
      </c>
      <c r="E180" s="181">
        <v>248</v>
      </c>
      <c r="F180" s="126">
        <v>238</v>
      </c>
      <c r="G180" s="126">
        <v>280</v>
      </c>
      <c r="H180" s="126">
        <v>242</v>
      </c>
      <c r="I180" s="126">
        <v>277</v>
      </c>
      <c r="J180" s="126">
        <v>243</v>
      </c>
      <c r="K180" s="126">
        <v>247</v>
      </c>
      <c r="L180" s="126">
        <v>251</v>
      </c>
      <c r="M180" s="126">
        <v>229</v>
      </c>
      <c r="N180" s="126">
        <v>241</v>
      </c>
      <c r="O180" s="126">
        <f t="shared" si="65"/>
        <v>2960</v>
      </c>
    </row>
    <row r="181" spans="2:15" x14ac:dyDescent="0.25">
      <c r="B181" s="128" t="s">
        <v>35</v>
      </c>
      <c r="C181" s="126">
        <v>45</v>
      </c>
      <c r="D181" s="126">
        <v>45</v>
      </c>
      <c r="E181" s="182">
        <v>53</v>
      </c>
      <c r="F181" s="126">
        <v>46</v>
      </c>
      <c r="G181" s="126">
        <v>46</v>
      </c>
      <c r="H181" s="126">
        <v>77</v>
      </c>
      <c r="I181" s="126">
        <v>50</v>
      </c>
      <c r="J181" s="126">
        <v>59</v>
      </c>
      <c r="K181" s="126">
        <v>49</v>
      </c>
      <c r="L181" s="126">
        <v>47</v>
      </c>
      <c r="M181" s="126">
        <v>48</v>
      </c>
      <c r="N181" s="126">
        <v>44</v>
      </c>
      <c r="O181" s="126">
        <f t="shared" si="65"/>
        <v>609</v>
      </c>
    </row>
    <row r="182" spans="2:15" x14ac:dyDescent="0.25">
      <c r="B182" s="128" t="s">
        <v>36</v>
      </c>
      <c r="C182" s="126">
        <v>59</v>
      </c>
      <c r="D182" s="126">
        <v>93</v>
      </c>
      <c r="E182" s="181">
        <v>90</v>
      </c>
      <c r="F182" s="126">
        <v>78</v>
      </c>
      <c r="G182" s="126">
        <v>87</v>
      </c>
      <c r="H182" s="126">
        <v>83</v>
      </c>
      <c r="I182" s="126">
        <v>108</v>
      </c>
      <c r="J182" s="126">
        <v>95</v>
      </c>
      <c r="K182" s="126">
        <v>95</v>
      </c>
      <c r="L182" s="126">
        <v>94</v>
      </c>
      <c r="M182" s="126">
        <v>77</v>
      </c>
      <c r="N182" s="126">
        <v>73</v>
      </c>
      <c r="O182" s="126">
        <f t="shared" si="65"/>
        <v>1032</v>
      </c>
    </row>
    <row r="183" spans="2:15" x14ac:dyDescent="0.25">
      <c r="B183" s="128" t="s">
        <v>37</v>
      </c>
      <c r="C183" s="126">
        <v>40</v>
      </c>
      <c r="D183" s="126">
        <v>40</v>
      </c>
      <c r="E183" s="182">
        <v>49</v>
      </c>
      <c r="F183" s="126">
        <v>45</v>
      </c>
      <c r="G183" s="126">
        <v>45</v>
      </c>
      <c r="H183" s="126">
        <v>67</v>
      </c>
      <c r="I183" s="126">
        <v>45</v>
      </c>
      <c r="J183" s="126">
        <v>56</v>
      </c>
      <c r="K183" s="126">
        <v>48</v>
      </c>
      <c r="L183" s="126">
        <v>44</v>
      </c>
      <c r="M183" s="126">
        <v>46</v>
      </c>
      <c r="N183" s="126">
        <v>42</v>
      </c>
      <c r="O183" s="126">
        <f t="shared" si="65"/>
        <v>567</v>
      </c>
    </row>
    <row r="184" spans="2:15" x14ac:dyDescent="0.25">
      <c r="B184" s="128" t="s">
        <v>38</v>
      </c>
      <c r="C184" s="126">
        <v>5</v>
      </c>
      <c r="D184" s="126">
        <v>5</v>
      </c>
      <c r="E184" s="182">
        <v>4</v>
      </c>
      <c r="F184" s="126">
        <v>1</v>
      </c>
      <c r="G184" s="126">
        <v>1</v>
      </c>
      <c r="H184" s="126">
        <v>10</v>
      </c>
      <c r="I184" s="126">
        <v>5</v>
      </c>
      <c r="J184" s="126">
        <v>3</v>
      </c>
      <c r="K184" s="126">
        <v>1</v>
      </c>
      <c r="L184" s="126">
        <v>3</v>
      </c>
      <c r="M184" s="126">
        <v>2</v>
      </c>
      <c r="N184" s="126">
        <v>2</v>
      </c>
      <c r="O184" s="126">
        <f t="shared" si="65"/>
        <v>42</v>
      </c>
    </row>
    <row r="185" spans="2:15" x14ac:dyDescent="0.25">
      <c r="B185" s="128" t="s">
        <v>81</v>
      </c>
      <c r="C185" s="126">
        <v>9</v>
      </c>
      <c r="D185" s="126">
        <v>8</v>
      </c>
      <c r="E185" s="126">
        <v>9</v>
      </c>
      <c r="F185" s="126">
        <v>4</v>
      </c>
      <c r="G185" s="126">
        <v>2</v>
      </c>
      <c r="H185" s="126">
        <v>16</v>
      </c>
      <c r="I185" s="126"/>
      <c r="J185" s="126"/>
      <c r="K185" s="126"/>
      <c r="L185" s="126"/>
      <c r="M185" s="126"/>
      <c r="N185" s="126"/>
      <c r="O185" s="126">
        <f t="shared" si="65"/>
        <v>48</v>
      </c>
    </row>
    <row r="186" spans="2:15" x14ac:dyDescent="0.25">
      <c r="B186" s="128" t="s">
        <v>39</v>
      </c>
      <c r="C186" s="126">
        <v>5</v>
      </c>
      <c r="D186" s="126">
        <v>5</v>
      </c>
      <c r="E186" s="126">
        <v>5</v>
      </c>
      <c r="F186" s="126">
        <v>4</v>
      </c>
      <c r="G186" s="126">
        <v>5</v>
      </c>
      <c r="H186" s="126">
        <v>6</v>
      </c>
      <c r="I186" s="126">
        <v>6</v>
      </c>
      <c r="J186" s="126">
        <v>5</v>
      </c>
      <c r="K186" s="126">
        <v>8</v>
      </c>
      <c r="L186" s="126">
        <v>7</v>
      </c>
      <c r="M186" s="126">
        <v>5</v>
      </c>
      <c r="N186" s="126">
        <v>4</v>
      </c>
      <c r="O186" s="126">
        <f t="shared" si="65"/>
        <v>65</v>
      </c>
    </row>
    <row r="187" spans="2:15" x14ac:dyDescent="0.25">
      <c r="B187" s="128" t="s">
        <v>40</v>
      </c>
      <c r="C187" s="126">
        <v>160</v>
      </c>
      <c r="D187" s="126">
        <v>139</v>
      </c>
      <c r="E187" s="126">
        <v>151</v>
      </c>
      <c r="F187" s="126">
        <v>154</v>
      </c>
      <c r="G187" s="126">
        <v>186</v>
      </c>
      <c r="H187" s="126">
        <v>152</v>
      </c>
      <c r="I187" s="126">
        <v>169</v>
      </c>
      <c r="J187" s="126">
        <v>145</v>
      </c>
      <c r="K187" s="126">
        <v>146</v>
      </c>
      <c r="L187" s="126">
        <v>157</v>
      </c>
      <c r="M187" s="126">
        <v>148</v>
      </c>
      <c r="N187" s="126">
        <v>166</v>
      </c>
      <c r="O187" s="126">
        <f t="shared" si="65"/>
        <v>1873</v>
      </c>
    </row>
    <row r="188" spans="2:15" x14ac:dyDescent="0.25">
      <c r="B188" s="128" t="s">
        <v>41</v>
      </c>
      <c r="C188" s="126">
        <v>0</v>
      </c>
      <c r="D188" s="126">
        <v>0</v>
      </c>
      <c r="E188" s="126">
        <v>0</v>
      </c>
      <c r="F188" s="126">
        <v>0</v>
      </c>
      <c r="G188" s="126">
        <v>0</v>
      </c>
      <c r="H188" s="126">
        <v>0</v>
      </c>
      <c r="I188" s="126">
        <v>0</v>
      </c>
      <c r="J188" s="126">
        <v>0</v>
      </c>
      <c r="K188" s="126">
        <v>0</v>
      </c>
      <c r="L188" s="126">
        <v>0</v>
      </c>
      <c r="M188" s="126">
        <v>0</v>
      </c>
      <c r="N188" s="126">
        <v>0</v>
      </c>
      <c r="O188" s="126">
        <f t="shared" si="65"/>
        <v>0</v>
      </c>
    </row>
    <row r="189" spans="2:15" x14ac:dyDescent="0.25">
      <c r="B189" s="128" t="s">
        <v>82</v>
      </c>
      <c r="C189" s="126">
        <v>0</v>
      </c>
      <c r="D189" s="126">
        <v>0</v>
      </c>
      <c r="E189" s="126">
        <v>0</v>
      </c>
      <c r="F189" s="126">
        <v>0</v>
      </c>
      <c r="G189" s="126">
        <v>0</v>
      </c>
      <c r="H189" s="126">
        <v>0</v>
      </c>
      <c r="I189" s="126">
        <v>0</v>
      </c>
      <c r="J189" s="126">
        <v>0</v>
      </c>
      <c r="K189" s="126">
        <v>0</v>
      </c>
      <c r="L189" s="126">
        <v>0</v>
      </c>
      <c r="M189" s="126">
        <v>0</v>
      </c>
      <c r="N189" s="126">
        <v>0</v>
      </c>
      <c r="O189" s="126">
        <f t="shared" si="65"/>
        <v>0</v>
      </c>
    </row>
    <row r="190" spans="2:15" x14ac:dyDescent="0.25">
      <c r="B190" s="128" t="s">
        <v>42</v>
      </c>
      <c r="C190" s="126">
        <v>25</v>
      </c>
      <c r="D190" s="126">
        <v>32</v>
      </c>
      <c r="E190" s="126">
        <v>29</v>
      </c>
      <c r="F190" s="126">
        <v>15</v>
      </c>
      <c r="G190" s="126">
        <v>16</v>
      </c>
      <c r="H190" s="126">
        <v>15</v>
      </c>
      <c r="I190" s="126">
        <v>22</v>
      </c>
      <c r="J190" s="126">
        <v>21</v>
      </c>
      <c r="K190" s="126">
        <v>17</v>
      </c>
      <c r="L190" s="126">
        <v>17</v>
      </c>
      <c r="M190" s="126">
        <v>15</v>
      </c>
      <c r="N190" s="126">
        <v>21</v>
      </c>
      <c r="O190" s="126">
        <f t="shared" si="65"/>
        <v>245</v>
      </c>
    </row>
    <row r="191" spans="2:15" x14ac:dyDescent="0.25">
      <c r="B191" s="128" t="s">
        <v>43</v>
      </c>
      <c r="C191" s="126">
        <v>0</v>
      </c>
      <c r="D191" s="126">
        <v>0</v>
      </c>
      <c r="E191" s="126">
        <v>3</v>
      </c>
      <c r="F191" s="126">
        <v>1</v>
      </c>
      <c r="G191" s="126">
        <v>0</v>
      </c>
      <c r="H191" s="126">
        <v>1</v>
      </c>
      <c r="I191" s="126">
        <v>2</v>
      </c>
      <c r="J191" s="126">
        <v>2</v>
      </c>
      <c r="K191" s="126">
        <v>1</v>
      </c>
      <c r="L191" s="126">
        <v>1</v>
      </c>
      <c r="M191" s="126">
        <v>0</v>
      </c>
      <c r="N191" s="126">
        <v>2</v>
      </c>
      <c r="O191" s="126">
        <f t="shared" si="65"/>
        <v>13</v>
      </c>
    </row>
    <row r="192" spans="2:15" x14ac:dyDescent="0.25">
      <c r="B192" s="128" t="s">
        <v>44</v>
      </c>
      <c r="C192" s="126">
        <v>4</v>
      </c>
      <c r="D192" s="126">
        <v>15</v>
      </c>
      <c r="E192" s="126">
        <v>12</v>
      </c>
      <c r="F192" s="126">
        <v>9</v>
      </c>
      <c r="G192" s="126">
        <v>1</v>
      </c>
      <c r="H192" s="126">
        <v>6</v>
      </c>
      <c r="I192" s="126">
        <v>9</v>
      </c>
      <c r="J192" s="126">
        <v>10</v>
      </c>
      <c r="K192" s="126">
        <v>2</v>
      </c>
      <c r="L192" s="126">
        <v>7</v>
      </c>
      <c r="M192" s="126">
        <v>2</v>
      </c>
      <c r="N192" s="126">
        <v>5</v>
      </c>
      <c r="O192" s="126">
        <f t="shared" si="65"/>
        <v>82</v>
      </c>
    </row>
    <row r="193" spans="2:15" x14ac:dyDescent="0.25">
      <c r="B193" s="128" t="s">
        <v>45</v>
      </c>
      <c r="C193" s="126">
        <v>0</v>
      </c>
      <c r="D193" s="126">
        <v>0</v>
      </c>
      <c r="E193" s="126">
        <v>2</v>
      </c>
      <c r="F193" s="126">
        <v>1</v>
      </c>
      <c r="G193" s="126">
        <v>1</v>
      </c>
      <c r="H193" s="126">
        <v>0</v>
      </c>
      <c r="I193" s="126">
        <v>1</v>
      </c>
      <c r="J193" s="126">
        <v>0</v>
      </c>
      <c r="K193" s="126">
        <v>1</v>
      </c>
      <c r="L193" s="126">
        <v>1</v>
      </c>
      <c r="M193" s="126">
        <v>0</v>
      </c>
      <c r="N193" s="126">
        <v>1</v>
      </c>
      <c r="O193" s="126">
        <f t="shared" si="65"/>
        <v>8</v>
      </c>
    </row>
    <row r="194" spans="2:15" x14ac:dyDescent="0.25">
      <c r="B194" s="128" t="s">
        <v>83</v>
      </c>
      <c r="C194" s="126">
        <v>311</v>
      </c>
      <c r="D194" s="126">
        <v>321</v>
      </c>
      <c r="E194" s="126">
        <v>341</v>
      </c>
      <c r="F194" s="126">
        <v>323</v>
      </c>
      <c r="G194" s="126">
        <v>380</v>
      </c>
      <c r="H194" s="126">
        <v>362</v>
      </c>
      <c r="I194" s="126"/>
      <c r="J194" s="126"/>
      <c r="K194" s="126"/>
      <c r="L194" s="126"/>
      <c r="M194" s="126"/>
      <c r="N194" s="126"/>
      <c r="O194" s="126">
        <f t="shared" si="65"/>
        <v>2038</v>
      </c>
    </row>
    <row r="195" spans="2:15" ht="15.75" x14ac:dyDescent="0.25">
      <c r="B195" s="138"/>
      <c r="C195" s="190"/>
      <c r="D195" s="190"/>
      <c r="E195" s="190"/>
      <c r="F195" s="190"/>
      <c r="G195" s="190"/>
      <c r="H195" s="190"/>
      <c r="I195" s="190"/>
      <c r="J195" s="190"/>
    </row>
    <row r="196" spans="2:15" ht="15.75" x14ac:dyDescent="0.25">
      <c r="B196" s="138"/>
      <c r="C196" s="167"/>
      <c r="D196" s="167"/>
      <c r="E196" s="167"/>
      <c r="F196" s="167"/>
      <c r="G196" s="167"/>
      <c r="H196" s="167"/>
      <c r="I196" s="167"/>
      <c r="J196" s="167"/>
    </row>
    <row r="197" spans="2:15" ht="15.75" x14ac:dyDescent="0.25">
      <c r="B197" s="138"/>
      <c r="C197" s="167"/>
      <c r="D197" s="166" t="s">
        <v>111</v>
      </c>
      <c r="E197" s="166"/>
      <c r="F197" s="166"/>
      <c r="G197" s="166"/>
      <c r="H197" s="166"/>
      <c r="I197" s="166"/>
      <c r="J197" s="166"/>
      <c r="K197" s="166"/>
    </row>
    <row r="198" spans="2:15" x14ac:dyDescent="0.25">
      <c r="B198" s="139" t="s">
        <v>62</v>
      </c>
      <c r="D198" s="172"/>
      <c r="M198" s="139" t="s">
        <v>101</v>
      </c>
      <c r="N198" s="138" t="s">
        <v>62</v>
      </c>
    </row>
    <row r="199" spans="2:15" x14ac:dyDescent="0.25">
      <c r="C199" s="123" t="s">
        <v>1</v>
      </c>
      <c r="D199" s="173" t="s">
        <v>2</v>
      </c>
      <c r="E199" s="123" t="s">
        <v>3</v>
      </c>
      <c r="F199" s="123" t="s">
        <v>4</v>
      </c>
      <c r="G199" s="123" t="s">
        <v>5</v>
      </c>
      <c r="H199" s="123" t="s">
        <v>6</v>
      </c>
      <c r="I199" s="123" t="s">
        <v>7</v>
      </c>
      <c r="J199" s="173" t="s">
        <v>8</v>
      </c>
      <c r="K199" s="173" t="s">
        <v>9</v>
      </c>
      <c r="L199" s="173" t="s">
        <v>10</v>
      </c>
      <c r="M199" s="173" t="s">
        <v>11</v>
      </c>
      <c r="N199" s="173" t="s">
        <v>12</v>
      </c>
      <c r="O199" s="123" t="s">
        <v>13</v>
      </c>
    </row>
    <row r="200" spans="2:15" x14ac:dyDescent="0.25">
      <c r="B200" s="128" t="s">
        <v>14</v>
      </c>
      <c r="C200" s="126">
        <v>6</v>
      </c>
      <c r="D200" s="126">
        <v>6</v>
      </c>
      <c r="E200" s="126">
        <v>6</v>
      </c>
      <c r="F200" s="126">
        <v>6</v>
      </c>
      <c r="G200" s="126">
        <v>6</v>
      </c>
      <c r="H200" s="126">
        <v>6</v>
      </c>
      <c r="I200" s="126">
        <v>6</v>
      </c>
      <c r="J200" s="126">
        <v>6</v>
      </c>
      <c r="K200" s="126">
        <v>6</v>
      </c>
      <c r="L200" s="126">
        <v>6</v>
      </c>
      <c r="M200" s="126">
        <v>6</v>
      </c>
      <c r="N200" s="126">
        <v>6</v>
      </c>
      <c r="O200" s="126">
        <f>SUM(C200:N200)</f>
        <v>72</v>
      </c>
    </row>
    <row r="201" spans="2:15" x14ac:dyDescent="0.25">
      <c r="B201" s="128" t="s">
        <v>15</v>
      </c>
      <c r="C201" s="126">
        <v>18</v>
      </c>
      <c r="D201" s="126">
        <v>15</v>
      </c>
      <c r="E201" s="126">
        <v>21</v>
      </c>
      <c r="F201" s="126">
        <v>22</v>
      </c>
      <c r="G201" s="126">
        <v>25</v>
      </c>
      <c r="H201" s="126">
        <v>13</v>
      </c>
      <c r="I201" s="126">
        <v>19</v>
      </c>
      <c r="J201" s="126">
        <v>18</v>
      </c>
      <c r="K201" s="126">
        <v>22</v>
      </c>
      <c r="L201" s="126">
        <v>21</v>
      </c>
      <c r="M201" s="126">
        <v>25</v>
      </c>
      <c r="N201" s="126">
        <v>20</v>
      </c>
      <c r="O201" s="126">
        <f t="shared" ref="O201:O216" si="72">SUM(C201:N201)</f>
        <v>239</v>
      </c>
    </row>
    <row r="202" spans="2:15" x14ac:dyDescent="0.25">
      <c r="B202" s="128" t="s">
        <v>16</v>
      </c>
      <c r="C202" s="126">
        <v>22</v>
      </c>
      <c r="D202" s="126">
        <v>13</v>
      </c>
      <c r="E202" s="126">
        <v>20</v>
      </c>
      <c r="F202" s="126">
        <v>23</v>
      </c>
      <c r="G202" s="126">
        <v>23</v>
      </c>
      <c r="H202" s="126">
        <v>14</v>
      </c>
      <c r="I202" s="126">
        <v>20</v>
      </c>
      <c r="J202" s="126">
        <v>17</v>
      </c>
      <c r="K202" s="126">
        <v>22</v>
      </c>
      <c r="L202" s="126">
        <v>19</v>
      </c>
      <c r="M202" s="126">
        <v>25</v>
      </c>
      <c r="N202" s="126">
        <v>22</v>
      </c>
      <c r="O202" s="126">
        <f t="shared" si="72"/>
        <v>240</v>
      </c>
    </row>
    <row r="203" spans="2:15" x14ac:dyDescent="0.25">
      <c r="B203" s="128" t="s">
        <v>17</v>
      </c>
      <c r="C203" s="126">
        <v>186</v>
      </c>
      <c r="D203" s="126">
        <v>168</v>
      </c>
      <c r="E203" s="126">
        <v>186</v>
      </c>
      <c r="F203" s="126">
        <v>180</v>
      </c>
      <c r="G203" s="126">
        <v>186</v>
      </c>
      <c r="H203" s="126">
        <v>180</v>
      </c>
      <c r="I203" s="126">
        <v>186</v>
      </c>
      <c r="J203" s="126">
        <f>6*31</f>
        <v>186</v>
      </c>
      <c r="K203" s="126">
        <v>180</v>
      </c>
      <c r="L203" s="126">
        <v>186</v>
      </c>
      <c r="M203" s="126">
        <v>180</v>
      </c>
      <c r="N203" s="126">
        <f>6*31</f>
        <v>186</v>
      </c>
      <c r="O203" s="126">
        <f t="shared" si="72"/>
        <v>2190</v>
      </c>
    </row>
    <row r="204" spans="2:15" x14ac:dyDescent="0.25">
      <c r="B204" s="128" t="s">
        <v>18</v>
      </c>
      <c r="C204" s="126">
        <v>67</v>
      </c>
      <c r="D204" s="126">
        <v>45</v>
      </c>
      <c r="E204" s="126">
        <v>60</v>
      </c>
      <c r="F204" s="126">
        <v>101</v>
      </c>
      <c r="G204" s="126">
        <v>61</v>
      </c>
      <c r="H204" s="126">
        <v>100</v>
      </c>
      <c r="I204" s="126">
        <v>102</v>
      </c>
      <c r="J204" s="126">
        <v>101</v>
      </c>
      <c r="K204" s="126">
        <v>70</v>
      </c>
      <c r="L204" s="126">
        <v>74</v>
      </c>
      <c r="M204" s="126">
        <v>101</v>
      </c>
      <c r="N204" s="126">
        <v>94</v>
      </c>
      <c r="O204" s="126">
        <f t="shared" si="72"/>
        <v>976</v>
      </c>
    </row>
    <row r="205" spans="2:15" x14ac:dyDescent="0.25">
      <c r="B205" s="128" t="s">
        <v>19</v>
      </c>
      <c r="C205" s="126">
        <v>84</v>
      </c>
      <c r="D205" s="126">
        <v>45</v>
      </c>
      <c r="E205" s="126">
        <v>76</v>
      </c>
      <c r="F205" s="126">
        <v>120</v>
      </c>
      <c r="G205" s="126">
        <v>65</v>
      </c>
      <c r="H205" s="126">
        <v>141</v>
      </c>
      <c r="I205" s="126">
        <v>115</v>
      </c>
      <c r="J205" s="126">
        <v>116</v>
      </c>
      <c r="K205" s="126">
        <v>72</v>
      </c>
      <c r="L205" s="126">
        <v>74</v>
      </c>
      <c r="M205" s="126">
        <v>111</v>
      </c>
      <c r="N205" s="126">
        <v>121</v>
      </c>
      <c r="O205" s="126">
        <f t="shared" si="72"/>
        <v>1140</v>
      </c>
    </row>
    <row r="206" spans="2:15" x14ac:dyDescent="0.25">
      <c r="B206" s="156" t="s">
        <v>59</v>
      </c>
      <c r="C206" s="126">
        <f>4+3+4+4+2+2+3+2+1+3+3+3+2+3+0+0+0+0+1+2+2+2+1+4+2+2+3+3+1+0+0</f>
        <v>62</v>
      </c>
      <c r="D206" s="126">
        <f>2+1+2+2+2+2+2+2+2+3+2+1+2+1+2+2+3+1+3+2+3+3+2+4+3+3+2+2</f>
        <v>61</v>
      </c>
      <c r="E206" s="126">
        <f>1+2+2+3+3+2+3+3+4+5+2+3+2+4+3+3+3+2+2+3+2+1+2+2+2+3+1+1+2+2+3</f>
        <v>76</v>
      </c>
      <c r="F206" s="126">
        <f>3+2+2+5+4+4+3+4+4+3+4+5+5+4+3+3+3+3+3+3+3+4+3+3+3+4+3+4+3+2</f>
        <v>102</v>
      </c>
      <c r="G206" s="126">
        <f>4+3+2+3+3+3+3+4+5+5+2+1+2+2+1+2+3+3+3+2+4+4+3+2+4+5+4+4+4+4+4</f>
        <v>98</v>
      </c>
      <c r="H206" s="126">
        <f>5+5+4+4+4+4+6+6+5+6+6+6+6+5+4+4+3+3+3+3+5+4+4+4+4+6+6+3+3+3</f>
        <v>134</v>
      </c>
      <c r="I206" s="126">
        <v>146</v>
      </c>
      <c r="J206" s="126">
        <v>133</v>
      </c>
      <c r="K206" s="126">
        <v>106</v>
      </c>
      <c r="L206" s="126">
        <v>84</v>
      </c>
      <c r="M206" s="126">
        <v>132</v>
      </c>
      <c r="N206" s="126">
        <v>125</v>
      </c>
      <c r="O206" s="126">
        <f t="shared" si="72"/>
        <v>1259</v>
      </c>
    </row>
    <row r="207" spans="2:15" x14ac:dyDescent="0.25">
      <c r="B207" s="128" t="s">
        <v>74</v>
      </c>
      <c r="C207" s="131">
        <f t="shared" ref="C207:N207" si="73">C204/C202</f>
        <v>3.0454545454545454</v>
      </c>
      <c r="D207" s="131">
        <f t="shared" si="73"/>
        <v>3.4615384615384617</v>
      </c>
      <c r="E207" s="131">
        <f t="shared" si="73"/>
        <v>3</v>
      </c>
      <c r="F207" s="131">
        <f t="shared" si="73"/>
        <v>4.3913043478260869</v>
      </c>
      <c r="G207" s="131">
        <f t="shared" si="73"/>
        <v>2.652173913043478</v>
      </c>
      <c r="H207" s="131">
        <f t="shared" si="73"/>
        <v>7.1428571428571432</v>
      </c>
      <c r="I207" s="131">
        <f t="shared" si="73"/>
        <v>5.0999999999999996</v>
      </c>
      <c r="J207" s="131">
        <f t="shared" si="73"/>
        <v>5.9411764705882355</v>
      </c>
      <c r="K207" s="131">
        <f t="shared" si="73"/>
        <v>3.1818181818181817</v>
      </c>
      <c r="L207" s="131">
        <f t="shared" si="73"/>
        <v>3.8947368421052633</v>
      </c>
      <c r="M207" s="131">
        <f t="shared" si="73"/>
        <v>4.04</v>
      </c>
      <c r="N207" s="131">
        <f t="shared" si="73"/>
        <v>4.2727272727272725</v>
      </c>
      <c r="O207" s="131">
        <f>O204/O202</f>
        <v>4.0666666666666664</v>
      </c>
    </row>
    <row r="208" spans="2:15" x14ac:dyDescent="0.25">
      <c r="B208" s="128" t="s">
        <v>75</v>
      </c>
      <c r="C208" s="131">
        <f t="shared" ref="C208:O208" si="74">C205/C202</f>
        <v>3.8181818181818183</v>
      </c>
      <c r="D208" s="131">
        <f t="shared" si="74"/>
        <v>3.4615384615384617</v>
      </c>
      <c r="E208" s="131">
        <f t="shared" si="74"/>
        <v>3.8</v>
      </c>
      <c r="F208" s="131">
        <f t="shared" si="74"/>
        <v>5.2173913043478262</v>
      </c>
      <c r="G208" s="131">
        <f t="shared" si="74"/>
        <v>2.8260869565217392</v>
      </c>
      <c r="H208" s="131">
        <f t="shared" si="74"/>
        <v>10.071428571428571</v>
      </c>
      <c r="I208" s="131">
        <f t="shared" si="74"/>
        <v>5.75</v>
      </c>
      <c r="J208" s="131">
        <f t="shared" si="74"/>
        <v>6.8235294117647056</v>
      </c>
      <c r="K208" s="131">
        <f t="shared" si="74"/>
        <v>3.2727272727272729</v>
      </c>
      <c r="L208" s="131">
        <f t="shared" si="74"/>
        <v>3.8947368421052633</v>
      </c>
      <c r="M208" s="131">
        <f t="shared" si="74"/>
        <v>4.4400000000000004</v>
      </c>
      <c r="N208" s="131">
        <f t="shared" si="74"/>
        <v>5.5</v>
      </c>
      <c r="O208" s="131">
        <f t="shared" si="74"/>
        <v>4.75</v>
      </c>
    </row>
    <row r="209" spans="2:15" x14ac:dyDescent="0.25">
      <c r="B209" s="128" t="s">
        <v>102</v>
      </c>
      <c r="C209" s="131">
        <f t="shared" ref="C209:O209" si="75">C204/C203*100</f>
        <v>36.021505376344088</v>
      </c>
      <c r="D209" s="131">
        <f t="shared" si="75"/>
        <v>26.785714285714285</v>
      </c>
      <c r="E209" s="131">
        <f t="shared" si="75"/>
        <v>32.258064516129032</v>
      </c>
      <c r="F209" s="131">
        <f t="shared" si="75"/>
        <v>56.111111111111114</v>
      </c>
      <c r="G209" s="131">
        <f t="shared" si="75"/>
        <v>32.795698924731184</v>
      </c>
      <c r="H209" s="131">
        <f t="shared" si="75"/>
        <v>55.555555555555557</v>
      </c>
      <c r="I209" s="131">
        <f t="shared" si="75"/>
        <v>54.838709677419352</v>
      </c>
      <c r="J209" s="131">
        <f t="shared" si="75"/>
        <v>54.3010752688172</v>
      </c>
      <c r="K209" s="131">
        <f t="shared" si="75"/>
        <v>38.888888888888893</v>
      </c>
      <c r="L209" s="131">
        <f t="shared" si="75"/>
        <v>39.784946236559136</v>
      </c>
      <c r="M209" s="131">
        <f t="shared" si="75"/>
        <v>56.111111111111114</v>
      </c>
      <c r="N209" s="131">
        <f t="shared" si="75"/>
        <v>50.537634408602152</v>
      </c>
      <c r="O209" s="131">
        <f t="shared" si="75"/>
        <v>44.566210045662103</v>
      </c>
    </row>
    <row r="210" spans="2:15" x14ac:dyDescent="0.25">
      <c r="B210" s="128" t="s">
        <v>77</v>
      </c>
      <c r="C210" s="131">
        <f>SUM(C202/C200)</f>
        <v>3.6666666666666665</v>
      </c>
      <c r="D210" s="131">
        <f t="shared" ref="D210:O210" si="76">SUM(D202/D200)</f>
        <v>2.1666666666666665</v>
      </c>
      <c r="E210" s="131">
        <f t="shared" si="76"/>
        <v>3.3333333333333335</v>
      </c>
      <c r="F210" s="131">
        <f t="shared" si="76"/>
        <v>3.8333333333333335</v>
      </c>
      <c r="G210" s="131">
        <f t="shared" si="76"/>
        <v>3.8333333333333335</v>
      </c>
      <c r="H210" s="131">
        <f t="shared" si="76"/>
        <v>2.3333333333333335</v>
      </c>
      <c r="I210" s="131">
        <f t="shared" si="76"/>
        <v>3.3333333333333335</v>
      </c>
      <c r="J210" s="131">
        <f t="shared" si="76"/>
        <v>2.8333333333333335</v>
      </c>
      <c r="K210" s="131">
        <f t="shared" si="76"/>
        <v>3.6666666666666665</v>
      </c>
      <c r="L210" s="131">
        <f t="shared" si="76"/>
        <v>3.1666666666666665</v>
      </c>
      <c r="M210" s="131">
        <f t="shared" si="76"/>
        <v>4.166666666666667</v>
      </c>
      <c r="N210" s="131">
        <f>SUM(N202/N200)</f>
        <v>3.6666666666666665</v>
      </c>
      <c r="O210" s="131">
        <f t="shared" si="76"/>
        <v>3.3333333333333335</v>
      </c>
    </row>
    <row r="211" spans="2:15" x14ac:dyDescent="0.25">
      <c r="B211" s="128" t="s">
        <v>24</v>
      </c>
      <c r="C211" s="131">
        <v>5.41</v>
      </c>
      <c r="D211" s="126">
        <v>9.4600000000000009</v>
      </c>
      <c r="E211" s="131">
        <v>6.3</v>
      </c>
      <c r="F211" s="126">
        <v>3.43</v>
      </c>
      <c r="G211" s="126">
        <v>5.43</v>
      </c>
      <c r="H211" s="131">
        <v>5.71</v>
      </c>
      <c r="I211" s="131">
        <f t="shared" ref="I211:O211" si="77">(I203-I204)/I202</f>
        <v>4.2</v>
      </c>
      <c r="J211" s="131">
        <f t="shared" si="77"/>
        <v>5</v>
      </c>
      <c r="K211" s="131">
        <f t="shared" si="77"/>
        <v>5</v>
      </c>
      <c r="L211" s="131">
        <f t="shared" si="77"/>
        <v>5.8947368421052628</v>
      </c>
      <c r="M211" s="131">
        <f t="shared" si="77"/>
        <v>3.16</v>
      </c>
      <c r="N211" s="131">
        <f t="shared" si="77"/>
        <v>4.1818181818181817</v>
      </c>
      <c r="O211" s="131">
        <f t="shared" si="77"/>
        <v>5.0583333333333336</v>
      </c>
    </row>
    <row r="212" spans="2:15" x14ac:dyDescent="0.25">
      <c r="B212" s="156" t="s">
        <v>103</v>
      </c>
      <c r="C212" s="131">
        <f>C206/C203*100</f>
        <v>33.333333333333329</v>
      </c>
      <c r="D212" s="131">
        <f t="shared" ref="D212:O212" si="78">D206/D203*100</f>
        <v>36.30952380952381</v>
      </c>
      <c r="E212" s="131">
        <f t="shared" si="78"/>
        <v>40.86021505376344</v>
      </c>
      <c r="F212" s="131">
        <f t="shared" si="78"/>
        <v>56.666666666666664</v>
      </c>
      <c r="G212" s="131">
        <f t="shared" si="78"/>
        <v>52.688172043010752</v>
      </c>
      <c r="H212" s="131">
        <f t="shared" si="78"/>
        <v>74.444444444444443</v>
      </c>
      <c r="I212" s="131">
        <f t="shared" si="78"/>
        <v>78.494623655913969</v>
      </c>
      <c r="J212" s="131">
        <f t="shared" si="78"/>
        <v>71.505376344086031</v>
      </c>
      <c r="K212" s="131">
        <f t="shared" si="78"/>
        <v>58.888888888888893</v>
      </c>
      <c r="L212" s="131">
        <f t="shared" si="78"/>
        <v>45.161290322580641</v>
      </c>
      <c r="M212" s="131">
        <f t="shared" si="78"/>
        <v>73.333333333333329</v>
      </c>
      <c r="N212" s="131">
        <f t="shared" si="78"/>
        <v>67.204301075268816</v>
      </c>
      <c r="O212" s="131">
        <f t="shared" si="78"/>
        <v>57.48858447488584</v>
      </c>
    </row>
    <row r="213" spans="2:15" x14ac:dyDescent="0.25">
      <c r="B213" s="128" t="s">
        <v>26</v>
      </c>
      <c r="C213" s="126">
        <v>2</v>
      </c>
      <c r="D213" s="126">
        <v>3</v>
      </c>
      <c r="E213" s="126">
        <v>3</v>
      </c>
      <c r="F213" s="126">
        <v>3</v>
      </c>
      <c r="G213" s="126">
        <v>5</v>
      </c>
      <c r="H213" s="126">
        <v>4</v>
      </c>
      <c r="I213" s="126">
        <v>7</v>
      </c>
      <c r="J213" s="126">
        <f>SUM(J214:J215)</f>
        <v>6</v>
      </c>
      <c r="K213" s="126">
        <v>5</v>
      </c>
      <c r="L213" s="126">
        <f>SUM(L214:L215)</f>
        <v>5</v>
      </c>
      <c r="M213" s="126">
        <f>SUM(M214:M215)</f>
        <v>5</v>
      </c>
      <c r="N213" s="126">
        <f>SUM(N214:N215)</f>
        <v>4</v>
      </c>
      <c r="O213" s="126">
        <f t="shared" si="72"/>
        <v>52</v>
      </c>
    </row>
    <row r="214" spans="2:15" x14ac:dyDescent="0.25">
      <c r="B214" s="128" t="s">
        <v>79</v>
      </c>
      <c r="C214" s="126">
        <v>0</v>
      </c>
      <c r="D214" s="126">
        <v>3</v>
      </c>
      <c r="E214" s="126">
        <v>2</v>
      </c>
      <c r="F214" s="126">
        <v>0</v>
      </c>
      <c r="G214" s="126">
        <v>2</v>
      </c>
      <c r="H214" s="126">
        <v>4</v>
      </c>
      <c r="I214" s="126">
        <v>5</v>
      </c>
      <c r="J214" s="126">
        <v>5</v>
      </c>
      <c r="K214" s="126">
        <v>3</v>
      </c>
      <c r="L214" s="126">
        <v>4</v>
      </c>
      <c r="M214" s="126">
        <v>3</v>
      </c>
      <c r="N214" s="126">
        <v>3</v>
      </c>
      <c r="O214" s="126">
        <f t="shared" si="72"/>
        <v>34</v>
      </c>
    </row>
    <row r="215" spans="2:15" x14ac:dyDescent="0.25">
      <c r="B215" s="128" t="s">
        <v>80</v>
      </c>
      <c r="C215" s="126">
        <v>2</v>
      </c>
      <c r="D215" s="126">
        <v>0</v>
      </c>
      <c r="E215" s="126">
        <v>1</v>
      </c>
      <c r="F215" s="126">
        <v>3</v>
      </c>
      <c r="G215" s="126">
        <v>3</v>
      </c>
      <c r="H215" s="126">
        <v>0</v>
      </c>
      <c r="I215" s="126">
        <v>2</v>
      </c>
      <c r="J215" s="126">
        <v>1</v>
      </c>
      <c r="K215" s="126">
        <v>1</v>
      </c>
      <c r="L215" s="126">
        <v>1</v>
      </c>
      <c r="M215" s="126">
        <v>2</v>
      </c>
      <c r="N215" s="126">
        <v>1</v>
      </c>
      <c r="O215" s="126">
        <f t="shared" si="72"/>
        <v>17</v>
      </c>
    </row>
    <row r="216" spans="2:15" x14ac:dyDescent="0.25">
      <c r="B216" s="128" t="s">
        <v>31</v>
      </c>
      <c r="C216" s="126">
        <v>0</v>
      </c>
      <c r="D216" s="126">
        <v>0</v>
      </c>
      <c r="E216" s="126">
        <v>0</v>
      </c>
      <c r="F216" s="126">
        <v>0</v>
      </c>
      <c r="G216" s="126">
        <v>0</v>
      </c>
      <c r="H216" s="126">
        <v>0</v>
      </c>
      <c r="I216" s="126">
        <v>0</v>
      </c>
      <c r="J216" s="126">
        <v>0</v>
      </c>
      <c r="K216" s="126">
        <v>0</v>
      </c>
      <c r="L216" s="126">
        <v>0</v>
      </c>
      <c r="M216" s="126">
        <v>0</v>
      </c>
      <c r="N216" s="126">
        <v>0</v>
      </c>
      <c r="O216" s="126">
        <f t="shared" si="72"/>
        <v>0</v>
      </c>
    </row>
    <row r="217" spans="2:15" x14ac:dyDescent="0.25">
      <c r="J217" s="179"/>
      <c r="K217" s="138"/>
    </row>
    <row r="218" spans="2:15" ht="15.75" x14ac:dyDescent="0.25">
      <c r="B218" s="138"/>
      <c r="C218" s="167"/>
      <c r="D218" s="167"/>
      <c r="E218" s="167"/>
      <c r="F218" s="167"/>
      <c r="G218" s="167"/>
      <c r="H218" s="167"/>
      <c r="I218" s="167"/>
      <c r="J218" s="167"/>
      <c r="L218" s="138"/>
    </row>
    <row r="219" spans="2:15" ht="15.75" x14ac:dyDescent="0.25">
      <c r="B219" s="138"/>
      <c r="C219" s="167"/>
      <c r="D219" s="190" t="s">
        <v>111</v>
      </c>
      <c r="E219" s="190"/>
      <c r="F219" s="190"/>
      <c r="G219" s="190"/>
      <c r="H219" s="190"/>
      <c r="I219" s="190"/>
      <c r="J219" s="190"/>
      <c r="K219" s="190"/>
    </row>
    <row r="220" spans="2:15" x14ac:dyDescent="0.25">
      <c r="B220" s="172" t="s">
        <v>67</v>
      </c>
      <c r="D220" s="172"/>
      <c r="M220" s="172" t="s">
        <v>104</v>
      </c>
      <c r="N220" s="138" t="s">
        <v>105</v>
      </c>
    </row>
    <row r="221" spans="2:15" x14ac:dyDescent="0.25">
      <c r="C221" s="123" t="s">
        <v>1</v>
      </c>
      <c r="D221" s="173" t="s">
        <v>2</v>
      </c>
      <c r="E221" s="123" t="s">
        <v>3</v>
      </c>
      <c r="F221" s="123" t="s">
        <v>4</v>
      </c>
      <c r="G221" s="123" t="s">
        <v>5</v>
      </c>
      <c r="H221" s="123" t="s">
        <v>6</v>
      </c>
      <c r="I221" s="123" t="s">
        <v>7</v>
      </c>
      <c r="J221" s="173" t="s">
        <v>8</v>
      </c>
      <c r="K221" s="173" t="s">
        <v>9</v>
      </c>
      <c r="L221" s="173" t="s">
        <v>10</v>
      </c>
      <c r="M221" s="173" t="s">
        <v>11</v>
      </c>
      <c r="N221" s="173" t="s">
        <v>12</v>
      </c>
      <c r="O221" s="123" t="s">
        <v>13</v>
      </c>
    </row>
    <row r="222" spans="2:15" x14ac:dyDescent="0.25">
      <c r="B222" s="128" t="s">
        <v>14</v>
      </c>
      <c r="C222" s="126">
        <v>4</v>
      </c>
      <c r="D222" s="126">
        <v>4</v>
      </c>
      <c r="E222" s="126">
        <v>4</v>
      </c>
      <c r="F222" s="126">
        <v>4</v>
      </c>
      <c r="G222" s="126">
        <v>4</v>
      </c>
      <c r="H222" s="126">
        <v>4</v>
      </c>
      <c r="I222" s="126">
        <v>4</v>
      </c>
      <c r="J222" s="126">
        <v>4</v>
      </c>
      <c r="K222" s="126">
        <v>4</v>
      </c>
      <c r="L222" s="126">
        <v>4</v>
      </c>
      <c r="M222" s="126">
        <v>4</v>
      </c>
      <c r="N222" s="126">
        <v>4</v>
      </c>
      <c r="O222" s="126">
        <v>4</v>
      </c>
    </row>
    <row r="223" spans="2:15" x14ac:dyDescent="0.25">
      <c r="B223" s="128" t="s">
        <v>15</v>
      </c>
      <c r="C223" s="126">
        <v>1</v>
      </c>
      <c r="D223" s="126">
        <v>2</v>
      </c>
      <c r="E223" s="126">
        <v>9</v>
      </c>
      <c r="F223" s="126">
        <v>5</v>
      </c>
      <c r="G223" s="126">
        <v>6</v>
      </c>
      <c r="H223" s="126">
        <v>10</v>
      </c>
      <c r="I223" s="126">
        <v>8</v>
      </c>
      <c r="J223" s="126">
        <v>11</v>
      </c>
      <c r="K223" s="126">
        <v>15</v>
      </c>
      <c r="L223" s="126">
        <v>12</v>
      </c>
      <c r="M223" s="126">
        <v>11</v>
      </c>
      <c r="N223" s="126">
        <v>6</v>
      </c>
      <c r="O223" s="126">
        <f t="shared" ref="O223:O228" si="79">SUM(C223:N223)</f>
        <v>96</v>
      </c>
    </row>
    <row r="224" spans="2:15" x14ac:dyDescent="0.25">
      <c r="B224" s="128" t="s">
        <v>16</v>
      </c>
      <c r="C224" s="126">
        <v>1</v>
      </c>
      <c r="D224" s="126">
        <v>4</v>
      </c>
      <c r="E224" s="126">
        <v>13</v>
      </c>
      <c r="F224" s="126">
        <v>7</v>
      </c>
      <c r="G224" s="126">
        <v>7</v>
      </c>
      <c r="H224" s="126">
        <v>8</v>
      </c>
      <c r="I224" s="126">
        <v>6</v>
      </c>
      <c r="J224" s="126">
        <v>8</v>
      </c>
      <c r="K224" s="126">
        <v>13</v>
      </c>
      <c r="L224" s="126">
        <v>14</v>
      </c>
      <c r="M224" s="126">
        <v>9</v>
      </c>
      <c r="N224" s="126">
        <v>7</v>
      </c>
      <c r="O224" s="126">
        <f t="shared" si="79"/>
        <v>97</v>
      </c>
    </row>
    <row r="225" spans="2:15" x14ac:dyDescent="0.25">
      <c r="B225" s="128" t="s">
        <v>17</v>
      </c>
      <c r="C225" s="126">
        <v>124</v>
      </c>
      <c r="D225" s="126">
        <v>112</v>
      </c>
      <c r="E225" s="126">
        <v>124</v>
      </c>
      <c r="F225" s="126">
        <v>120</v>
      </c>
      <c r="G225" s="126">
        <v>124</v>
      </c>
      <c r="H225" s="126">
        <v>120</v>
      </c>
      <c r="I225" s="126">
        <f>4*31</f>
        <v>124</v>
      </c>
      <c r="J225" s="126">
        <f>4*31</f>
        <v>124</v>
      </c>
      <c r="K225" s="126">
        <v>120</v>
      </c>
      <c r="L225" s="126">
        <v>124</v>
      </c>
      <c r="M225" s="126">
        <v>120</v>
      </c>
      <c r="N225" s="126">
        <f>4*31</f>
        <v>124</v>
      </c>
      <c r="O225" s="126">
        <f t="shared" si="79"/>
        <v>1460</v>
      </c>
    </row>
    <row r="226" spans="2:15" x14ac:dyDescent="0.25">
      <c r="B226" s="128" t="s">
        <v>18</v>
      </c>
      <c r="C226" s="126">
        <v>6</v>
      </c>
      <c r="D226" s="126">
        <v>16</v>
      </c>
      <c r="E226" s="126">
        <v>68</v>
      </c>
      <c r="F226" s="126">
        <v>49</v>
      </c>
      <c r="G226" s="126">
        <v>45</v>
      </c>
      <c r="H226" s="126">
        <v>46</v>
      </c>
      <c r="I226" s="126">
        <v>23</v>
      </c>
      <c r="J226" s="126">
        <v>31</v>
      </c>
      <c r="K226" s="126">
        <v>43</v>
      </c>
      <c r="L226" s="126">
        <v>53</v>
      </c>
      <c r="M226" s="126">
        <v>32</v>
      </c>
      <c r="N226" s="126">
        <v>51</v>
      </c>
      <c r="O226" s="126">
        <f t="shared" si="79"/>
        <v>463</v>
      </c>
    </row>
    <row r="227" spans="2:15" x14ac:dyDescent="0.25">
      <c r="B227" s="128" t="s">
        <v>19</v>
      </c>
      <c r="C227" s="126">
        <v>6</v>
      </c>
      <c r="D227" s="126">
        <v>20</v>
      </c>
      <c r="E227" s="126">
        <v>99</v>
      </c>
      <c r="F227" s="126">
        <v>58</v>
      </c>
      <c r="G227" s="126">
        <v>109</v>
      </c>
      <c r="H227" s="126">
        <v>46</v>
      </c>
      <c r="I227" s="126">
        <v>23</v>
      </c>
      <c r="J227" s="126">
        <v>66</v>
      </c>
      <c r="K227" s="126">
        <v>50</v>
      </c>
      <c r="L227" s="126">
        <v>73</v>
      </c>
      <c r="M227" s="126">
        <v>38</v>
      </c>
      <c r="N227" s="126">
        <v>69</v>
      </c>
      <c r="O227" s="126">
        <f t="shared" si="79"/>
        <v>657</v>
      </c>
    </row>
    <row r="228" spans="2:15" x14ac:dyDescent="0.25">
      <c r="B228" s="128" t="s">
        <v>106</v>
      </c>
      <c r="C228" s="126">
        <f>3+3+3+3+3+3+3+4+3+3+2+2+2+1+1+1+1+1+1+1+1+2+2+2+2+2+3+2+2+2+3</f>
        <v>67</v>
      </c>
      <c r="D228" s="126">
        <f>3+3+3+4+4+3+3+4+4+4+4+5+6+6+3+3+2+2+2+2+3+4+4+4+3+3+3+4</f>
        <v>98</v>
      </c>
      <c r="E228" s="126">
        <f>9+8+4+5+4+4+4+4+4+4+4+2+1+1+1+1+1+0+1+1+1+1+1+0+3+2+2+2+2+2+2</f>
        <v>81</v>
      </c>
      <c r="F228" s="126">
        <f>3+4+4+3+2+2+2+2+2+2+3+2+2+2+2+1+1+1+1+1+1+1+1+1+2+1+1+1+0+0</f>
        <v>51</v>
      </c>
      <c r="G228" s="126">
        <f>1+1+1+1+0+0+0+1+1+1+1+1+1+3+1+2+2+2+2+1+1+0+0+0+0+0+0</f>
        <v>24</v>
      </c>
      <c r="H228" s="126">
        <f>2+2+2+3+3+3+2+1+1+1+0+0+0+0+0+0+1+1+1+1+1+1+2+0+0+0+0+0+0+1</f>
        <v>29</v>
      </c>
      <c r="I228" s="126">
        <v>85</v>
      </c>
      <c r="J228" s="126">
        <v>72</v>
      </c>
      <c r="K228" s="126">
        <v>96</v>
      </c>
      <c r="L228" s="126">
        <v>85</v>
      </c>
      <c r="M228" s="126">
        <v>80</v>
      </c>
      <c r="N228" s="126"/>
      <c r="O228" s="126">
        <f t="shared" si="79"/>
        <v>768</v>
      </c>
    </row>
    <row r="229" spans="2:15" x14ac:dyDescent="0.25">
      <c r="B229" s="128" t="s">
        <v>74</v>
      </c>
      <c r="C229" s="131">
        <f t="shared" ref="C229:N229" si="80">C226/C224</f>
        <v>6</v>
      </c>
      <c r="D229" s="131">
        <f>D226/D224</f>
        <v>4</v>
      </c>
      <c r="E229" s="131">
        <f t="shared" si="80"/>
        <v>5.2307692307692308</v>
      </c>
      <c r="F229" s="131">
        <f t="shared" si="80"/>
        <v>7</v>
      </c>
      <c r="G229" s="131">
        <f t="shared" si="80"/>
        <v>6.4285714285714288</v>
      </c>
      <c r="H229" s="131">
        <f t="shared" si="80"/>
        <v>5.75</v>
      </c>
      <c r="I229" s="131">
        <f t="shared" si="80"/>
        <v>3.8333333333333335</v>
      </c>
      <c r="J229" s="131">
        <f t="shared" si="80"/>
        <v>3.875</v>
      </c>
      <c r="K229" s="131">
        <f t="shared" si="80"/>
        <v>3.3076923076923075</v>
      </c>
      <c r="L229" s="131">
        <f t="shared" si="80"/>
        <v>3.7857142857142856</v>
      </c>
      <c r="M229" s="131">
        <f t="shared" si="80"/>
        <v>3.5555555555555554</v>
      </c>
      <c r="N229" s="131">
        <f t="shared" si="80"/>
        <v>7.2857142857142856</v>
      </c>
      <c r="O229" s="131">
        <f>O226/O224</f>
        <v>4.7731958762886597</v>
      </c>
    </row>
    <row r="230" spans="2:15" x14ac:dyDescent="0.25">
      <c r="B230" s="128" t="s">
        <v>75</v>
      </c>
      <c r="C230" s="131">
        <f t="shared" ref="C230:O230" si="81">C227/C224</f>
        <v>6</v>
      </c>
      <c r="D230" s="131">
        <f>D227/D224</f>
        <v>5</v>
      </c>
      <c r="E230" s="131">
        <f t="shared" si="81"/>
        <v>7.615384615384615</v>
      </c>
      <c r="F230" s="131">
        <f t="shared" si="81"/>
        <v>8.2857142857142865</v>
      </c>
      <c r="G230" s="131">
        <f t="shared" si="81"/>
        <v>15.571428571428571</v>
      </c>
      <c r="H230" s="131">
        <f t="shared" si="81"/>
        <v>5.75</v>
      </c>
      <c r="I230" s="131">
        <f t="shared" si="81"/>
        <v>3.8333333333333335</v>
      </c>
      <c r="J230" s="131">
        <f t="shared" si="81"/>
        <v>8.25</v>
      </c>
      <c r="K230" s="131">
        <f t="shared" si="81"/>
        <v>3.8461538461538463</v>
      </c>
      <c r="L230" s="131">
        <f t="shared" si="81"/>
        <v>5.2142857142857144</v>
      </c>
      <c r="M230" s="131">
        <f t="shared" si="81"/>
        <v>4.2222222222222223</v>
      </c>
      <c r="N230" s="131">
        <f t="shared" si="81"/>
        <v>9.8571428571428577</v>
      </c>
      <c r="O230" s="131">
        <f t="shared" si="81"/>
        <v>6.7731958762886597</v>
      </c>
    </row>
    <row r="231" spans="2:15" x14ac:dyDescent="0.25">
      <c r="B231" s="128" t="s">
        <v>102</v>
      </c>
      <c r="C231" s="131">
        <f t="shared" ref="C231:O231" si="82">C226/C225*100</f>
        <v>4.838709677419355</v>
      </c>
      <c r="D231" s="131">
        <f>D226/D225*100</f>
        <v>14.285714285714285</v>
      </c>
      <c r="E231" s="131">
        <f t="shared" si="82"/>
        <v>54.838709677419352</v>
      </c>
      <c r="F231" s="131">
        <f t="shared" si="82"/>
        <v>40.833333333333336</v>
      </c>
      <c r="G231" s="131">
        <f t="shared" si="82"/>
        <v>36.29032258064516</v>
      </c>
      <c r="H231" s="131">
        <f t="shared" si="82"/>
        <v>38.333333333333336</v>
      </c>
      <c r="I231" s="131">
        <f t="shared" si="82"/>
        <v>18.548387096774192</v>
      </c>
      <c r="J231" s="131">
        <f t="shared" si="82"/>
        <v>25</v>
      </c>
      <c r="K231" s="131">
        <f t="shared" si="82"/>
        <v>35.833333333333336</v>
      </c>
      <c r="L231" s="131">
        <f t="shared" si="82"/>
        <v>42.741935483870968</v>
      </c>
      <c r="M231" s="131">
        <f t="shared" si="82"/>
        <v>26.666666666666668</v>
      </c>
      <c r="N231" s="131">
        <f t="shared" si="82"/>
        <v>41.12903225806452</v>
      </c>
      <c r="O231" s="131">
        <f t="shared" si="82"/>
        <v>31.712328767123289</v>
      </c>
    </row>
    <row r="232" spans="2:15" x14ac:dyDescent="0.25">
      <c r="B232" s="128" t="s">
        <v>77</v>
      </c>
      <c r="C232" s="131">
        <f>SUM(C224/C222)</f>
        <v>0.25</v>
      </c>
      <c r="D232" s="131">
        <f t="shared" ref="D232:O232" si="83">SUM(D224/D222)</f>
        <v>1</v>
      </c>
      <c r="E232" s="131">
        <f t="shared" si="83"/>
        <v>3.25</v>
      </c>
      <c r="F232" s="131">
        <f t="shared" si="83"/>
        <v>1.75</v>
      </c>
      <c r="G232" s="131">
        <f t="shared" si="83"/>
        <v>1.75</v>
      </c>
      <c r="H232" s="131">
        <f t="shared" si="83"/>
        <v>2</v>
      </c>
      <c r="I232" s="131">
        <f t="shared" si="83"/>
        <v>1.5</v>
      </c>
      <c r="J232" s="131">
        <f t="shared" si="83"/>
        <v>2</v>
      </c>
      <c r="K232" s="131">
        <f t="shared" si="83"/>
        <v>3.25</v>
      </c>
      <c r="L232" s="131">
        <f t="shared" si="83"/>
        <v>3.5</v>
      </c>
      <c r="M232" s="131">
        <f t="shared" si="83"/>
        <v>2.25</v>
      </c>
      <c r="N232" s="131">
        <f t="shared" si="83"/>
        <v>1.75</v>
      </c>
      <c r="O232" s="131">
        <f t="shared" si="83"/>
        <v>24.25</v>
      </c>
    </row>
    <row r="233" spans="2:15" x14ac:dyDescent="0.25">
      <c r="B233" s="128" t="s">
        <v>24</v>
      </c>
      <c r="C233" s="131">
        <f t="shared" ref="C233:N233" si="84">(C225-C226)/C224</f>
        <v>118</v>
      </c>
      <c r="D233" s="131">
        <f t="shared" si="84"/>
        <v>24</v>
      </c>
      <c r="E233" s="131">
        <f t="shared" si="84"/>
        <v>4.3076923076923075</v>
      </c>
      <c r="F233" s="131">
        <f t="shared" si="84"/>
        <v>10.142857142857142</v>
      </c>
      <c r="G233" s="131">
        <f t="shared" si="84"/>
        <v>11.285714285714286</v>
      </c>
      <c r="H233" s="131">
        <f t="shared" si="84"/>
        <v>9.25</v>
      </c>
      <c r="I233" s="131">
        <f t="shared" si="84"/>
        <v>16.833333333333332</v>
      </c>
      <c r="J233" s="131">
        <f t="shared" si="84"/>
        <v>11.625</v>
      </c>
      <c r="K233" s="131">
        <f t="shared" si="84"/>
        <v>5.9230769230769234</v>
      </c>
      <c r="L233" s="131">
        <f t="shared" si="84"/>
        <v>5.0714285714285712</v>
      </c>
      <c r="M233" s="131">
        <f t="shared" si="84"/>
        <v>9.7777777777777786</v>
      </c>
      <c r="N233" s="131">
        <f t="shared" si="84"/>
        <v>10.428571428571429</v>
      </c>
      <c r="O233" s="126">
        <v>9.35</v>
      </c>
    </row>
    <row r="234" spans="2:15" x14ac:dyDescent="0.25">
      <c r="B234" s="128" t="s">
        <v>103</v>
      </c>
      <c r="C234" s="131">
        <f>C228/C225*100</f>
        <v>54.032258064516128</v>
      </c>
      <c r="D234" s="131">
        <f t="shared" ref="D234:O234" si="85">D228/D225*100</f>
        <v>87.5</v>
      </c>
      <c r="E234" s="131">
        <f t="shared" si="85"/>
        <v>65.322580645161281</v>
      </c>
      <c r="F234" s="131">
        <f t="shared" si="85"/>
        <v>42.5</v>
      </c>
      <c r="G234" s="131">
        <f t="shared" si="85"/>
        <v>19.35483870967742</v>
      </c>
      <c r="H234" s="131">
        <f t="shared" si="85"/>
        <v>24.166666666666668</v>
      </c>
      <c r="I234" s="131">
        <f t="shared" si="85"/>
        <v>68.548387096774192</v>
      </c>
      <c r="J234" s="131">
        <f t="shared" si="85"/>
        <v>58.064516129032263</v>
      </c>
      <c r="K234" s="131">
        <f t="shared" si="85"/>
        <v>80</v>
      </c>
      <c r="L234" s="131">
        <f t="shared" si="85"/>
        <v>68.548387096774192</v>
      </c>
      <c r="M234" s="131">
        <f t="shared" si="85"/>
        <v>66.666666666666657</v>
      </c>
      <c r="N234" s="131">
        <f t="shared" si="85"/>
        <v>0</v>
      </c>
      <c r="O234" s="131">
        <f t="shared" si="85"/>
        <v>52.602739726027394</v>
      </c>
    </row>
    <row r="235" spans="2:15" x14ac:dyDescent="0.25">
      <c r="B235" s="128" t="s">
        <v>26</v>
      </c>
      <c r="C235" s="126">
        <v>0</v>
      </c>
      <c r="D235" s="126">
        <v>0</v>
      </c>
      <c r="E235" s="126">
        <v>7</v>
      </c>
      <c r="F235" s="126">
        <v>2</v>
      </c>
      <c r="G235" s="126">
        <v>1</v>
      </c>
      <c r="H235" s="126">
        <v>1</v>
      </c>
      <c r="I235" s="126">
        <v>1</v>
      </c>
      <c r="J235" s="126">
        <f>SUM(J236:J237)</f>
        <v>1</v>
      </c>
      <c r="K235" s="126">
        <f>SUM(K236:K237)</f>
        <v>1</v>
      </c>
      <c r="L235" s="126">
        <f>SUM(L236:L237)</f>
        <v>1</v>
      </c>
      <c r="M235" s="126">
        <f>SUM(M236:M237)</f>
        <v>0</v>
      </c>
      <c r="N235" s="126">
        <f>SUM(N236:N237)</f>
        <v>2</v>
      </c>
      <c r="O235" s="126">
        <f>SUM(C235:N235)</f>
        <v>17</v>
      </c>
    </row>
    <row r="236" spans="2:15" x14ac:dyDescent="0.25">
      <c r="B236" s="128" t="s">
        <v>79</v>
      </c>
      <c r="C236" s="126">
        <v>0</v>
      </c>
      <c r="D236" s="126">
        <v>0</v>
      </c>
      <c r="E236" s="126">
        <v>4</v>
      </c>
      <c r="F236" s="126">
        <v>0</v>
      </c>
      <c r="G236" s="126">
        <v>0</v>
      </c>
      <c r="H236" s="126">
        <v>0</v>
      </c>
      <c r="I236" s="126">
        <v>1</v>
      </c>
      <c r="J236" s="126">
        <v>1</v>
      </c>
      <c r="K236" s="126">
        <v>1</v>
      </c>
      <c r="L236" s="126">
        <v>0</v>
      </c>
      <c r="M236" s="126">
        <v>0</v>
      </c>
      <c r="N236" s="126">
        <v>1</v>
      </c>
      <c r="O236" s="126">
        <f>SUM(C236:N236)</f>
        <v>8</v>
      </c>
    </row>
    <row r="237" spans="2:15" x14ac:dyDescent="0.25">
      <c r="B237" s="128" t="s">
        <v>80</v>
      </c>
      <c r="C237" s="126">
        <v>0</v>
      </c>
      <c r="D237" s="126">
        <v>0</v>
      </c>
      <c r="E237" s="126">
        <v>3</v>
      </c>
      <c r="F237" s="126">
        <v>2</v>
      </c>
      <c r="G237" s="126">
        <v>1</v>
      </c>
      <c r="H237" s="126">
        <v>1</v>
      </c>
      <c r="I237" s="126">
        <v>0</v>
      </c>
      <c r="J237" s="126">
        <v>0</v>
      </c>
      <c r="K237" s="126">
        <v>0</v>
      </c>
      <c r="L237" s="126">
        <v>1</v>
      </c>
      <c r="M237" s="126">
        <v>0</v>
      </c>
      <c r="N237" s="126">
        <v>1</v>
      </c>
      <c r="O237" s="126">
        <f>SUM(C237:N237)</f>
        <v>9</v>
      </c>
    </row>
    <row r="238" spans="2:15" x14ac:dyDescent="0.25">
      <c r="B238" s="128" t="s">
        <v>31</v>
      </c>
      <c r="C238" s="126">
        <v>0</v>
      </c>
      <c r="D238" s="126">
        <v>0</v>
      </c>
      <c r="E238" s="126">
        <v>0</v>
      </c>
      <c r="F238" s="126">
        <v>0</v>
      </c>
      <c r="G238" s="126">
        <v>0</v>
      </c>
      <c r="H238" s="126">
        <v>0</v>
      </c>
      <c r="I238" s="126">
        <v>0</v>
      </c>
      <c r="J238" s="126">
        <v>0</v>
      </c>
      <c r="K238" s="126">
        <v>0</v>
      </c>
      <c r="L238" s="126">
        <v>0</v>
      </c>
      <c r="M238" s="126">
        <v>0</v>
      </c>
      <c r="N238" s="126">
        <v>0</v>
      </c>
      <c r="O238" s="126">
        <f>SUM(C238:N238)</f>
        <v>0</v>
      </c>
    </row>
    <row r="240" spans="2:15" ht="15.75" x14ac:dyDescent="0.25">
      <c r="B240" s="138"/>
      <c r="C240" s="167"/>
      <c r="D240" s="167"/>
      <c r="E240" s="167"/>
      <c r="F240" s="167"/>
      <c r="G240" s="167"/>
      <c r="H240" s="167"/>
      <c r="I240" s="167"/>
      <c r="J240" s="167"/>
    </row>
    <row r="241" spans="2:15" ht="15.75" x14ac:dyDescent="0.25">
      <c r="B241" s="138"/>
      <c r="C241" s="190" t="s">
        <v>111</v>
      </c>
      <c r="D241" s="190"/>
      <c r="E241" s="190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</row>
    <row r="242" spans="2:15" x14ac:dyDescent="0.25">
      <c r="B242" s="172" t="s">
        <v>107</v>
      </c>
      <c r="D242" s="172"/>
      <c r="M242" s="172"/>
      <c r="N242" s="138"/>
    </row>
    <row r="243" spans="2:15" x14ac:dyDescent="0.25">
      <c r="C243" s="123" t="s">
        <v>1</v>
      </c>
      <c r="D243" s="173" t="s">
        <v>2</v>
      </c>
      <c r="E243" s="123" t="s">
        <v>3</v>
      </c>
      <c r="F243" s="123" t="s">
        <v>4</v>
      </c>
      <c r="G243" s="123" t="s">
        <v>5</v>
      </c>
      <c r="H243" s="123" t="s">
        <v>6</v>
      </c>
      <c r="I243" s="123" t="s">
        <v>7</v>
      </c>
      <c r="J243" s="173" t="s">
        <v>8</v>
      </c>
      <c r="K243" s="173" t="s">
        <v>9</v>
      </c>
      <c r="L243" s="173" t="s">
        <v>10</v>
      </c>
      <c r="M243" s="173" t="s">
        <v>11</v>
      </c>
      <c r="N243" s="173" t="s">
        <v>12</v>
      </c>
      <c r="O243" s="123" t="s">
        <v>13</v>
      </c>
    </row>
    <row r="244" spans="2:15" x14ac:dyDescent="0.25">
      <c r="B244" s="128" t="s">
        <v>14</v>
      </c>
      <c r="C244" s="126">
        <v>11</v>
      </c>
      <c r="D244" s="126">
        <v>11</v>
      </c>
      <c r="E244" s="126">
        <v>11</v>
      </c>
      <c r="F244" s="126">
        <v>11</v>
      </c>
      <c r="G244" s="126">
        <v>11</v>
      </c>
      <c r="H244" s="126">
        <v>11</v>
      </c>
      <c r="I244" s="126">
        <v>11</v>
      </c>
      <c r="J244" s="126">
        <v>11</v>
      </c>
      <c r="K244" s="126">
        <v>11</v>
      </c>
      <c r="L244" s="126">
        <v>11</v>
      </c>
      <c r="M244" s="126">
        <v>11</v>
      </c>
      <c r="N244" s="126">
        <v>11</v>
      </c>
      <c r="O244" s="126">
        <v>11</v>
      </c>
    </row>
    <row r="245" spans="2:15" x14ac:dyDescent="0.25">
      <c r="B245" s="128" t="s">
        <v>15</v>
      </c>
      <c r="C245" s="126">
        <v>25</v>
      </c>
      <c r="D245" s="126">
        <v>19</v>
      </c>
      <c r="E245" s="126">
        <v>41</v>
      </c>
      <c r="F245" s="126">
        <v>29</v>
      </c>
      <c r="G245" s="126">
        <v>48</v>
      </c>
      <c r="H245" s="126">
        <v>48</v>
      </c>
      <c r="I245" s="126">
        <v>30</v>
      </c>
      <c r="J245" s="126">
        <v>17</v>
      </c>
      <c r="K245" s="126">
        <v>30</v>
      </c>
      <c r="L245" s="126">
        <v>37</v>
      </c>
      <c r="M245" s="126">
        <v>34</v>
      </c>
      <c r="N245" s="126">
        <v>38</v>
      </c>
      <c r="O245" s="126">
        <f t="shared" ref="O245:O250" si="86">SUM(C245:N245)</f>
        <v>396</v>
      </c>
    </row>
    <row r="246" spans="2:15" x14ac:dyDescent="0.25">
      <c r="B246" s="128" t="s">
        <v>16</v>
      </c>
      <c r="C246" s="126">
        <v>28</v>
      </c>
      <c r="D246" s="126">
        <v>18</v>
      </c>
      <c r="E246" s="126">
        <v>44</v>
      </c>
      <c r="F246" s="126">
        <v>32</v>
      </c>
      <c r="G246" s="126">
        <v>44</v>
      </c>
      <c r="H246" s="126">
        <v>47</v>
      </c>
      <c r="I246" s="126">
        <v>26</v>
      </c>
      <c r="J246" s="126">
        <v>20</v>
      </c>
      <c r="K246" s="126">
        <v>37</v>
      </c>
      <c r="L246" s="126">
        <v>38</v>
      </c>
      <c r="M246" s="126">
        <v>34</v>
      </c>
      <c r="N246" s="126">
        <v>37</v>
      </c>
      <c r="O246" s="126">
        <f t="shared" si="86"/>
        <v>405</v>
      </c>
    </row>
    <row r="247" spans="2:15" x14ac:dyDescent="0.25">
      <c r="B247" s="128" t="s">
        <v>17</v>
      </c>
      <c r="C247" s="126">
        <v>341</v>
      </c>
      <c r="D247" s="126">
        <v>308</v>
      </c>
      <c r="E247" s="126">
        <v>341</v>
      </c>
      <c r="F247" s="126">
        <v>330</v>
      </c>
      <c r="G247" s="126">
        <v>341</v>
      </c>
      <c r="H247" s="126">
        <v>330</v>
      </c>
      <c r="I247" s="126">
        <f>11*31</f>
        <v>341</v>
      </c>
      <c r="J247" s="126">
        <f>11*31</f>
        <v>341</v>
      </c>
      <c r="K247" s="126">
        <v>330</v>
      </c>
      <c r="L247" s="126">
        <v>341</v>
      </c>
      <c r="M247" s="126">
        <v>330</v>
      </c>
      <c r="N247" s="126">
        <f>11*31</f>
        <v>341</v>
      </c>
      <c r="O247" s="126">
        <f t="shared" si="86"/>
        <v>4015</v>
      </c>
    </row>
    <row r="248" spans="2:15" x14ac:dyDescent="0.25">
      <c r="B248" s="128" t="s">
        <v>18</v>
      </c>
      <c r="C248" s="126">
        <v>146</v>
      </c>
      <c r="D248" s="126">
        <v>74</v>
      </c>
      <c r="E248" s="126">
        <v>192</v>
      </c>
      <c r="F248" s="126">
        <v>134</v>
      </c>
      <c r="G248" s="126">
        <v>110</v>
      </c>
      <c r="H248" s="126">
        <v>131</v>
      </c>
      <c r="I248" s="126">
        <v>91</v>
      </c>
      <c r="J248" s="126">
        <v>42</v>
      </c>
      <c r="K248" s="126">
        <v>139</v>
      </c>
      <c r="L248" s="126">
        <v>155</v>
      </c>
      <c r="M248" s="126">
        <v>117</v>
      </c>
      <c r="N248" s="126">
        <v>100</v>
      </c>
      <c r="O248" s="126">
        <f t="shared" si="86"/>
        <v>1431</v>
      </c>
    </row>
    <row r="249" spans="2:15" x14ac:dyDescent="0.25">
      <c r="B249" s="128" t="s">
        <v>19</v>
      </c>
      <c r="C249" s="126">
        <v>165</v>
      </c>
      <c r="D249" s="126">
        <v>94</v>
      </c>
      <c r="E249" s="126">
        <v>226</v>
      </c>
      <c r="F249" s="126">
        <v>144</v>
      </c>
      <c r="G249" s="126">
        <v>118</v>
      </c>
      <c r="H249" s="126">
        <v>150</v>
      </c>
      <c r="I249" s="126">
        <v>96</v>
      </c>
      <c r="J249" s="126">
        <v>51</v>
      </c>
      <c r="K249" s="126">
        <v>207</v>
      </c>
      <c r="L249" s="126">
        <v>163</v>
      </c>
      <c r="M249" s="126">
        <v>119</v>
      </c>
      <c r="N249" s="126">
        <v>109</v>
      </c>
      <c r="O249" s="126">
        <f t="shared" si="86"/>
        <v>1642</v>
      </c>
    </row>
    <row r="250" spans="2:15" x14ac:dyDescent="0.25">
      <c r="B250" s="128" t="s">
        <v>91</v>
      </c>
      <c r="C250" s="126">
        <f>4+4+5+6+6+6+7+7+9+9+8+7+7+9+8+9+10+11+10+9+8+7+10+12+12+9+10+10+9+8+9</f>
        <v>255</v>
      </c>
      <c r="D250" s="126">
        <f>8+11+14+11+10+12+14+13+13+8+9+10+8+8+11+10+11+11+9+10+9+8+8+9+10+10+10+11</f>
        <v>286</v>
      </c>
      <c r="E250" s="126">
        <f>12+5+5+6+6+6+7+7+5+6+5+5+4+6+5+7+9+10+10+11+12+12+12+13+14+14+14+10+10</f>
        <v>248</v>
      </c>
      <c r="F250" s="126">
        <f>9+10+10+13+12+12+10+9+10+11+12+12+12+12+13+14+16+13+13+12+11+10+11+8+7+10+11+10+10+9</f>
        <v>332</v>
      </c>
      <c r="G250" s="126">
        <f>8+7+10+9+8+11+9+9+11+11+8+7+10+11+9+10+13+12+10+10+10+8+10+10+9+7+7+7+7+9+7</f>
        <v>284</v>
      </c>
      <c r="H250" s="126">
        <f>8+7+7+8+9+11+12+7+7+8+11+13+8+11+9+9+6+8+10+8+6+7+6+9+9+9+8+6+7+7</f>
        <v>251</v>
      </c>
      <c r="I250" s="126">
        <v>113</v>
      </c>
      <c r="J250" s="126">
        <v>113</v>
      </c>
      <c r="K250" s="126">
        <v>204</v>
      </c>
      <c r="L250" s="126">
        <v>229</v>
      </c>
      <c r="M250" s="126">
        <v>194</v>
      </c>
      <c r="N250" s="126"/>
      <c r="O250" s="126">
        <f t="shared" si="86"/>
        <v>2509</v>
      </c>
    </row>
    <row r="251" spans="2:15" x14ac:dyDescent="0.25">
      <c r="B251" s="128" t="s">
        <v>74</v>
      </c>
      <c r="C251" s="131">
        <f>C248/C246</f>
        <v>5.2142857142857144</v>
      </c>
      <c r="D251" s="131">
        <f>D248/D246</f>
        <v>4.1111111111111107</v>
      </c>
      <c r="E251" s="131">
        <f t="shared" ref="E251:N251" si="87">E248/E246</f>
        <v>4.3636363636363633</v>
      </c>
      <c r="F251" s="131">
        <f t="shared" si="87"/>
        <v>4.1875</v>
      </c>
      <c r="G251" s="131">
        <f t="shared" si="87"/>
        <v>2.5</v>
      </c>
      <c r="H251" s="131">
        <f t="shared" si="87"/>
        <v>2.7872340425531914</v>
      </c>
      <c r="I251" s="131">
        <f t="shared" si="87"/>
        <v>3.5</v>
      </c>
      <c r="J251" s="131">
        <f t="shared" si="87"/>
        <v>2.1</v>
      </c>
      <c r="K251" s="131">
        <f t="shared" si="87"/>
        <v>3.7567567567567566</v>
      </c>
      <c r="L251" s="131">
        <f t="shared" si="87"/>
        <v>4.0789473684210522</v>
      </c>
      <c r="M251" s="131">
        <f t="shared" si="87"/>
        <v>3.4411764705882355</v>
      </c>
      <c r="N251" s="131">
        <f t="shared" si="87"/>
        <v>2.7027027027027026</v>
      </c>
      <c r="O251" s="131">
        <f>O248/O246</f>
        <v>3.5333333333333332</v>
      </c>
    </row>
    <row r="252" spans="2:15" x14ac:dyDescent="0.25">
      <c r="B252" s="128" t="s">
        <v>75</v>
      </c>
      <c r="C252" s="131">
        <f>C249/C246</f>
        <v>5.8928571428571432</v>
      </c>
      <c r="D252" s="131">
        <f>D249/D246</f>
        <v>5.2222222222222223</v>
      </c>
      <c r="E252" s="131">
        <f t="shared" ref="E252:O252" si="88">E249/E246</f>
        <v>5.1363636363636367</v>
      </c>
      <c r="F252" s="131">
        <f t="shared" si="88"/>
        <v>4.5</v>
      </c>
      <c r="G252" s="131">
        <f t="shared" si="88"/>
        <v>2.6818181818181817</v>
      </c>
      <c r="H252" s="131">
        <f t="shared" si="88"/>
        <v>3.1914893617021276</v>
      </c>
      <c r="I252" s="131">
        <f t="shared" si="88"/>
        <v>3.6923076923076925</v>
      </c>
      <c r="J252" s="131">
        <f t="shared" si="88"/>
        <v>2.5499999999999998</v>
      </c>
      <c r="K252" s="131">
        <f t="shared" si="88"/>
        <v>5.5945945945945947</v>
      </c>
      <c r="L252" s="131">
        <f t="shared" si="88"/>
        <v>4.2894736842105265</v>
      </c>
      <c r="M252" s="131">
        <f t="shared" si="88"/>
        <v>3.5</v>
      </c>
      <c r="N252" s="131">
        <f t="shared" si="88"/>
        <v>2.9459459459459461</v>
      </c>
      <c r="O252" s="131">
        <f t="shared" si="88"/>
        <v>4.0543209876543207</v>
      </c>
    </row>
    <row r="253" spans="2:15" x14ac:dyDescent="0.25">
      <c r="B253" s="128" t="s">
        <v>102</v>
      </c>
      <c r="C253" s="131">
        <f t="shared" ref="C253:O253" si="89">C248/C247*100</f>
        <v>42.815249266862168</v>
      </c>
      <c r="D253" s="131">
        <f t="shared" si="89"/>
        <v>24.025974025974026</v>
      </c>
      <c r="E253" s="131">
        <f t="shared" si="89"/>
        <v>56.304985337243409</v>
      </c>
      <c r="F253" s="131">
        <f t="shared" si="89"/>
        <v>40.606060606060609</v>
      </c>
      <c r="G253" s="131">
        <f t="shared" si="89"/>
        <v>32.258064516129032</v>
      </c>
      <c r="H253" s="131">
        <f t="shared" si="89"/>
        <v>39.696969696969695</v>
      </c>
      <c r="I253" s="131">
        <f t="shared" si="89"/>
        <v>26.686217008797652</v>
      </c>
      <c r="J253" s="131">
        <f t="shared" si="89"/>
        <v>12.316715542521994</v>
      </c>
      <c r="K253" s="131">
        <f t="shared" si="89"/>
        <v>42.121212121212118</v>
      </c>
      <c r="L253" s="131">
        <f t="shared" si="89"/>
        <v>45.454545454545453</v>
      </c>
      <c r="M253" s="131">
        <f t="shared" si="89"/>
        <v>35.454545454545453</v>
      </c>
      <c r="N253" s="131">
        <f t="shared" si="89"/>
        <v>29.325513196480941</v>
      </c>
      <c r="O253" s="131">
        <f t="shared" si="89"/>
        <v>35.641344956413448</v>
      </c>
    </row>
    <row r="254" spans="2:15" x14ac:dyDescent="0.25">
      <c r="B254" s="128" t="s">
        <v>77</v>
      </c>
      <c r="C254" s="131">
        <f>SUM(C246/C244)</f>
        <v>2.5454545454545454</v>
      </c>
      <c r="D254" s="131">
        <f t="shared" ref="D254:O254" si="90">SUM(D246/D244)</f>
        <v>1.6363636363636365</v>
      </c>
      <c r="E254" s="131">
        <f t="shared" si="90"/>
        <v>4</v>
      </c>
      <c r="F254" s="131">
        <f t="shared" si="90"/>
        <v>2.9090909090909092</v>
      </c>
      <c r="G254" s="131">
        <f t="shared" si="90"/>
        <v>4</v>
      </c>
      <c r="H254" s="131">
        <f t="shared" si="90"/>
        <v>4.2727272727272725</v>
      </c>
      <c r="I254" s="131">
        <f t="shared" si="90"/>
        <v>2.3636363636363638</v>
      </c>
      <c r="J254" s="131">
        <f t="shared" si="90"/>
        <v>1.8181818181818181</v>
      </c>
      <c r="K254" s="131">
        <f t="shared" si="90"/>
        <v>3.3636363636363638</v>
      </c>
      <c r="L254" s="131">
        <f t="shared" si="90"/>
        <v>3.4545454545454546</v>
      </c>
      <c r="M254" s="131">
        <f t="shared" si="90"/>
        <v>3.0909090909090908</v>
      </c>
      <c r="N254" s="131">
        <f t="shared" si="90"/>
        <v>3.3636363636363638</v>
      </c>
      <c r="O254" s="131">
        <f t="shared" si="90"/>
        <v>36.81818181818182</v>
      </c>
    </row>
    <row r="255" spans="2:15" x14ac:dyDescent="0.25">
      <c r="B255" s="128" t="s">
        <v>24</v>
      </c>
      <c r="C255" s="131">
        <f t="shared" ref="C255:N255" si="91">(C247-C248)/C246</f>
        <v>6.9642857142857144</v>
      </c>
      <c r="D255" s="131">
        <f t="shared" si="91"/>
        <v>13</v>
      </c>
      <c r="E255" s="131">
        <f t="shared" si="91"/>
        <v>3.3863636363636362</v>
      </c>
      <c r="F255" s="131">
        <f t="shared" si="91"/>
        <v>6.125</v>
      </c>
      <c r="G255" s="131">
        <f t="shared" si="91"/>
        <v>5.25</v>
      </c>
      <c r="H255" s="131">
        <f t="shared" si="91"/>
        <v>4.2340425531914896</v>
      </c>
      <c r="I255" s="131">
        <f t="shared" si="91"/>
        <v>9.615384615384615</v>
      </c>
      <c r="J255" s="131">
        <f t="shared" si="91"/>
        <v>14.95</v>
      </c>
      <c r="K255" s="131">
        <f t="shared" si="91"/>
        <v>5.1621621621621623</v>
      </c>
      <c r="L255" s="131">
        <f t="shared" si="91"/>
        <v>4.8947368421052628</v>
      </c>
      <c r="M255" s="131">
        <f t="shared" si="91"/>
        <v>6.2647058823529411</v>
      </c>
      <c r="N255" s="131">
        <f t="shared" si="91"/>
        <v>6.5135135135135132</v>
      </c>
      <c r="O255" s="126">
        <v>1.57</v>
      </c>
    </row>
    <row r="256" spans="2:15" x14ac:dyDescent="0.25">
      <c r="B256" s="128" t="s">
        <v>103</v>
      </c>
      <c r="C256" s="131">
        <f>C250/C247*100</f>
        <v>74.780058651026394</v>
      </c>
      <c r="D256" s="131">
        <f t="shared" ref="D256:O256" si="92">D250/D247*100</f>
        <v>92.857142857142861</v>
      </c>
      <c r="E256" s="131">
        <f t="shared" si="92"/>
        <v>72.727272727272734</v>
      </c>
      <c r="F256" s="131">
        <f t="shared" si="92"/>
        <v>100.60606060606061</v>
      </c>
      <c r="G256" s="131">
        <f t="shared" si="92"/>
        <v>83.284457478005862</v>
      </c>
      <c r="H256" s="131">
        <f>H250/H247*100</f>
        <v>76.060606060606062</v>
      </c>
      <c r="I256" s="131">
        <f t="shared" si="92"/>
        <v>33.137829912023456</v>
      </c>
      <c r="J256" s="131">
        <f t="shared" si="92"/>
        <v>33.137829912023456</v>
      </c>
      <c r="K256" s="131">
        <f t="shared" si="92"/>
        <v>61.818181818181813</v>
      </c>
      <c r="L256" s="131">
        <f t="shared" si="92"/>
        <v>67.15542521994135</v>
      </c>
      <c r="M256" s="131">
        <f t="shared" si="92"/>
        <v>58.787878787878789</v>
      </c>
      <c r="N256" s="131">
        <f t="shared" si="92"/>
        <v>0</v>
      </c>
      <c r="O256" s="131">
        <f t="shared" si="92"/>
        <v>62.490660024906596</v>
      </c>
    </row>
    <row r="257" spans="2:15" x14ac:dyDescent="0.25">
      <c r="B257" s="128" t="s">
        <v>26</v>
      </c>
      <c r="C257" s="126">
        <v>0</v>
      </c>
      <c r="D257" s="126">
        <v>0</v>
      </c>
      <c r="E257" s="126">
        <v>3</v>
      </c>
      <c r="F257" s="126">
        <v>0</v>
      </c>
      <c r="G257" s="126">
        <v>1</v>
      </c>
      <c r="H257" s="126">
        <v>0</v>
      </c>
      <c r="I257" s="126">
        <f t="shared" ref="I257:N257" si="93">SUM(I258:I259)</f>
        <v>1</v>
      </c>
      <c r="J257" s="126">
        <f t="shared" si="93"/>
        <v>1</v>
      </c>
      <c r="K257" s="126">
        <f t="shared" si="93"/>
        <v>0</v>
      </c>
      <c r="L257" s="126">
        <f t="shared" si="93"/>
        <v>0</v>
      </c>
      <c r="M257" s="126">
        <f t="shared" si="93"/>
        <v>0</v>
      </c>
      <c r="N257" s="126">
        <f t="shared" si="93"/>
        <v>0</v>
      </c>
      <c r="O257" s="126">
        <f>SUM(C257:N257)</f>
        <v>6</v>
      </c>
    </row>
    <row r="258" spans="2:15" x14ac:dyDescent="0.25">
      <c r="B258" s="128" t="s">
        <v>79</v>
      </c>
      <c r="C258" s="126">
        <v>0</v>
      </c>
      <c r="D258" s="126">
        <v>0</v>
      </c>
      <c r="E258" s="126">
        <v>3</v>
      </c>
      <c r="F258" s="126">
        <v>0</v>
      </c>
      <c r="G258" s="126">
        <v>1</v>
      </c>
      <c r="H258" s="126">
        <v>0</v>
      </c>
      <c r="I258" s="126">
        <v>0</v>
      </c>
      <c r="J258" s="126">
        <v>1</v>
      </c>
      <c r="K258" s="126">
        <v>0</v>
      </c>
      <c r="L258" s="126">
        <v>0</v>
      </c>
      <c r="M258" s="126">
        <v>0</v>
      </c>
      <c r="N258" s="126"/>
      <c r="O258" s="126">
        <f>SUM(C258:N258)</f>
        <v>5</v>
      </c>
    </row>
    <row r="259" spans="2:15" x14ac:dyDescent="0.25">
      <c r="B259" s="128" t="s">
        <v>80</v>
      </c>
      <c r="C259" s="126">
        <v>0</v>
      </c>
      <c r="D259" s="126">
        <v>0</v>
      </c>
      <c r="E259" s="126">
        <v>0</v>
      </c>
      <c r="F259" s="126">
        <v>0</v>
      </c>
      <c r="G259" s="126">
        <v>0</v>
      </c>
      <c r="H259" s="126">
        <v>0</v>
      </c>
      <c r="I259" s="126">
        <v>1</v>
      </c>
      <c r="J259" s="126">
        <v>0</v>
      </c>
      <c r="K259" s="126">
        <v>0</v>
      </c>
      <c r="L259" s="126">
        <v>0</v>
      </c>
      <c r="M259" s="126">
        <v>0</v>
      </c>
      <c r="N259" s="126"/>
      <c r="O259" s="126">
        <f>SUM(C259:N259)</f>
        <v>1</v>
      </c>
    </row>
    <row r="260" spans="2:15" x14ac:dyDescent="0.25">
      <c r="B260" s="128" t="s">
        <v>31</v>
      </c>
      <c r="C260" s="126">
        <v>0</v>
      </c>
      <c r="D260" s="126">
        <v>0</v>
      </c>
      <c r="E260" s="126">
        <v>0</v>
      </c>
      <c r="F260" s="126">
        <v>0</v>
      </c>
      <c r="G260" s="126">
        <v>0</v>
      </c>
      <c r="H260" s="126">
        <v>0</v>
      </c>
      <c r="I260" s="126">
        <v>0</v>
      </c>
      <c r="J260" s="126">
        <v>0</v>
      </c>
      <c r="K260" s="126">
        <v>0</v>
      </c>
      <c r="L260" s="126">
        <v>0</v>
      </c>
      <c r="M260" s="126">
        <v>0</v>
      </c>
      <c r="N260" s="126"/>
      <c r="O260" s="126">
        <f>SUM(C260:N260)</f>
        <v>0</v>
      </c>
    </row>
  </sheetData>
  <mergeCells count="11">
    <mergeCell ref="B2:O2"/>
    <mergeCell ref="B3:O3"/>
    <mergeCell ref="B45:O45"/>
    <mergeCell ref="C69:L69"/>
    <mergeCell ref="D91:K91"/>
    <mergeCell ref="D219:K219"/>
    <mergeCell ref="C241:O241"/>
    <mergeCell ref="C195:J195"/>
    <mergeCell ref="B113:O113"/>
    <mergeCell ref="D135:L135"/>
    <mergeCell ref="C157:J15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B2:O260"/>
  <sheetViews>
    <sheetView workbookViewId="0">
      <selection activeCell="I242" sqref="I242"/>
    </sheetView>
  </sheetViews>
  <sheetFormatPr baseColWidth="10" defaultRowHeight="15" x14ac:dyDescent="0.25"/>
  <cols>
    <col min="1" max="1" width="3.5703125" customWidth="1"/>
    <col min="2" max="2" width="30.5703125" bestFit="1" customWidth="1"/>
    <col min="3" max="14" width="9.5703125" customWidth="1"/>
  </cols>
  <sheetData>
    <row r="2" spans="2:15" ht="18" x14ac:dyDescent="0.25">
      <c r="B2" s="194" t="s">
        <v>69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2:15" ht="15.75" x14ac:dyDescent="0.25">
      <c r="B3" s="195">
        <v>2014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2:15" x14ac:dyDescent="0.25">
      <c r="B4" s="1"/>
      <c r="C4" s="123" t="s">
        <v>1</v>
      </c>
      <c r="D4" s="123" t="s">
        <v>2</v>
      </c>
      <c r="E4" s="123" t="s">
        <v>3</v>
      </c>
      <c r="F4" s="123" t="s">
        <v>4</v>
      </c>
      <c r="G4" s="123" t="s">
        <v>5</v>
      </c>
      <c r="H4" s="123" t="s">
        <v>6</v>
      </c>
      <c r="I4" s="123" t="s">
        <v>7</v>
      </c>
      <c r="J4" s="123" t="s">
        <v>8</v>
      </c>
      <c r="K4" s="123" t="s">
        <v>9</v>
      </c>
      <c r="L4" s="124" t="s">
        <v>10</v>
      </c>
      <c r="M4" s="124" t="s">
        <v>11</v>
      </c>
      <c r="N4" s="124" t="s">
        <v>12</v>
      </c>
      <c r="O4" s="123" t="s">
        <v>13</v>
      </c>
    </row>
    <row r="5" spans="2:15" x14ac:dyDescent="0.25">
      <c r="B5" s="125" t="s">
        <v>14</v>
      </c>
      <c r="C5" s="126">
        <f t="shared" ref="C5:N5" si="0">C48+C72+C94+C116+C138+C160+C200</f>
        <v>176</v>
      </c>
      <c r="D5" s="126">
        <f t="shared" si="0"/>
        <v>176</v>
      </c>
      <c r="E5" s="126">
        <f t="shared" si="0"/>
        <v>176</v>
      </c>
      <c r="F5" s="126">
        <f t="shared" si="0"/>
        <v>176</v>
      </c>
      <c r="G5" s="126">
        <f t="shared" si="0"/>
        <v>176</v>
      </c>
      <c r="H5" s="126">
        <f t="shared" si="0"/>
        <v>176</v>
      </c>
      <c r="I5" s="126">
        <f t="shared" si="0"/>
        <v>176</v>
      </c>
      <c r="J5" s="126">
        <f t="shared" si="0"/>
        <v>176</v>
      </c>
      <c r="K5" s="126">
        <f t="shared" si="0"/>
        <v>176</v>
      </c>
      <c r="L5" s="127">
        <f t="shared" si="0"/>
        <v>176</v>
      </c>
      <c r="M5" s="127">
        <f t="shared" si="0"/>
        <v>176</v>
      </c>
      <c r="N5" s="127">
        <f t="shared" si="0"/>
        <v>176</v>
      </c>
      <c r="O5" s="126">
        <f t="shared" ref="O5:O11" si="1">SUM(C5:N5)</f>
        <v>2112</v>
      </c>
    </row>
    <row r="6" spans="2:15" x14ac:dyDescent="0.25">
      <c r="B6" s="128" t="s">
        <v>15</v>
      </c>
      <c r="C6" s="126">
        <f t="shared" ref="C6:N6" si="2">C49+C73+C95+C117+C139+C161+C201</f>
        <v>807</v>
      </c>
      <c r="D6" s="126">
        <f t="shared" si="2"/>
        <v>743</v>
      </c>
      <c r="E6" s="126">
        <f t="shared" si="2"/>
        <v>810</v>
      </c>
      <c r="F6" s="126">
        <f t="shared" si="2"/>
        <v>727</v>
      </c>
      <c r="G6" s="126">
        <f t="shared" si="2"/>
        <v>715</v>
      </c>
      <c r="H6" s="126">
        <f t="shared" si="2"/>
        <v>629</v>
      </c>
      <c r="I6" s="126">
        <f t="shared" si="2"/>
        <v>728</v>
      </c>
      <c r="J6" s="126">
        <f t="shared" si="2"/>
        <v>727</v>
      </c>
      <c r="K6" s="126">
        <f t="shared" si="2"/>
        <v>636</v>
      </c>
      <c r="L6" s="127">
        <f t="shared" si="2"/>
        <v>689</v>
      </c>
      <c r="M6" s="127">
        <f t="shared" si="2"/>
        <v>723</v>
      </c>
      <c r="N6" s="127">
        <f t="shared" si="2"/>
        <v>679</v>
      </c>
      <c r="O6" s="126">
        <f t="shared" si="1"/>
        <v>8613</v>
      </c>
    </row>
    <row r="7" spans="2:15" x14ac:dyDescent="0.25">
      <c r="B7" s="128" t="s">
        <v>16</v>
      </c>
      <c r="C7" s="126">
        <f t="shared" ref="C7:N7" si="3">C50+C74+C96+C118+C140+C162+C202</f>
        <v>768</v>
      </c>
      <c r="D7" s="126">
        <f t="shared" si="3"/>
        <v>728</v>
      </c>
      <c r="E7" s="126">
        <f t="shared" si="3"/>
        <v>810</v>
      </c>
      <c r="F7" s="126">
        <f t="shared" si="3"/>
        <v>707</v>
      </c>
      <c r="G7" s="126">
        <f t="shared" si="3"/>
        <v>731</v>
      </c>
      <c r="H7" s="126">
        <f t="shared" si="3"/>
        <v>618</v>
      </c>
      <c r="I7" s="126">
        <f t="shared" si="3"/>
        <v>715</v>
      </c>
      <c r="J7" s="126">
        <f t="shared" si="3"/>
        <v>738</v>
      </c>
      <c r="K7" s="126">
        <f t="shared" si="3"/>
        <v>625</v>
      </c>
      <c r="L7" s="127">
        <f t="shared" si="3"/>
        <v>689</v>
      </c>
      <c r="M7" s="127">
        <f t="shared" si="3"/>
        <v>720</v>
      </c>
      <c r="N7" s="127">
        <f t="shared" si="3"/>
        <v>671</v>
      </c>
      <c r="O7" s="126">
        <f t="shared" si="1"/>
        <v>8520</v>
      </c>
    </row>
    <row r="8" spans="2:15" x14ac:dyDescent="0.25">
      <c r="B8" s="125" t="s">
        <v>17</v>
      </c>
      <c r="C8" s="126">
        <f t="shared" ref="C8:N8" si="4">C51+C75+C97+C119+C141+C163+C203</f>
        <v>5456</v>
      </c>
      <c r="D8" s="126">
        <f t="shared" si="4"/>
        <v>4928</v>
      </c>
      <c r="E8" s="126">
        <f t="shared" si="4"/>
        <v>5456</v>
      </c>
      <c r="F8" s="126">
        <f t="shared" si="4"/>
        <v>5280</v>
      </c>
      <c r="G8" s="126">
        <f t="shared" si="4"/>
        <v>5456</v>
      </c>
      <c r="H8" s="126">
        <f t="shared" si="4"/>
        <v>5280</v>
      </c>
      <c r="I8" s="126">
        <f t="shared" si="4"/>
        <v>5456</v>
      </c>
      <c r="J8" s="126">
        <f t="shared" si="4"/>
        <v>5456</v>
      </c>
      <c r="K8" s="126">
        <f t="shared" si="4"/>
        <v>5280</v>
      </c>
      <c r="L8" s="127">
        <f t="shared" si="4"/>
        <v>5456</v>
      </c>
      <c r="M8" s="127">
        <f t="shared" si="4"/>
        <v>5280</v>
      </c>
      <c r="N8" s="127">
        <f t="shared" si="4"/>
        <v>5456</v>
      </c>
      <c r="O8" s="126">
        <f t="shared" si="1"/>
        <v>64240</v>
      </c>
    </row>
    <row r="9" spans="2:15" x14ac:dyDescent="0.25">
      <c r="B9" s="125" t="s">
        <v>18</v>
      </c>
      <c r="C9" s="126">
        <f t="shared" ref="C9:N9" si="5">C52+C76+C98+C120+C142+C164+C204</f>
        <v>2424</v>
      </c>
      <c r="D9" s="126">
        <f t="shared" si="5"/>
        <v>2483</v>
      </c>
      <c r="E9" s="126">
        <f t="shared" si="5"/>
        <v>2639</v>
      </c>
      <c r="F9" s="126">
        <f t="shared" si="5"/>
        <v>2366</v>
      </c>
      <c r="G9" s="126">
        <f t="shared" si="5"/>
        <v>2308</v>
      </c>
      <c r="H9" s="126">
        <f t="shared" si="5"/>
        <v>2050</v>
      </c>
      <c r="I9" s="126">
        <f t="shared" si="5"/>
        <v>2298</v>
      </c>
      <c r="J9" s="126">
        <f t="shared" si="5"/>
        <v>2255</v>
      </c>
      <c r="K9" s="126">
        <f t="shared" si="5"/>
        <v>2059</v>
      </c>
      <c r="L9" s="127">
        <f t="shared" si="5"/>
        <v>2388</v>
      </c>
      <c r="M9" s="127">
        <f t="shared" si="5"/>
        <v>2367</v>
      </c>
      <c r="N9" s="127">
        <f t="shared" si="5"/>
        <v>2255</v>
      </c>
      <c r="O9" s="126">
        <f t="shared" si="1"/>
        <v>27892</v>
      </c>
    </row>
    <row r="10" spans="2:15" x14ac:dyDescent="0.25">
      <c r="B10" s="125" t="s">
        <v>19</v>
      </c>
      <c r="C10" s="126">
        <f t="shared" ref="C10:N10" si="6">C53+C77+C99+C121+C143+C165+C205</f>
        <v>2765</v>
      </c>
      <c r="D10" s="126">
        <f t="shared" si="6"/>
        <v>3047</v>
      </c>
      <c r="E10" s="126">
        <f t="shared" si="6"/>
        <v>3357</v>
      </c>
      <c r="F10" s="126">
        <f t="shared" si="6"/>
        <v>2847</v>
      </c>
      <c r="G10" s="126">
        <f t="shared" si="6"/>
        <v>2941</v>
      </c>
      <c r="H10" s="126">
        <f t="shared" si="6"/>
        <v>2712</v>
      </c>
      <c r="I10" s="126">
        <f t="shared" si="6"/>
        <v>2927</v>
      </c>
      <c r="J10" s="126">
        <f t="shared" si="6"/>
        <v>2812</v>
      </c>
      <c r="K10" s="126">
        <f t="shared" si="6"/>
        <v>2524</v>
      </c>
      <c r="L10" s="127">
        <f t="shared" si="6"/>
        <v>2966</v>
      </c>
      <c r="M10" s="127">
        <f t="shared" si="6"/>
        <v>2735</v>
      </c>
      <c r="N10" s="127">
        <f t="shared" si="6"/>
        <v>2846</v>
      </c>
      <c r="O10" s="126">
        <f t="shared" si="1"/>
        <v>34479</v>
      </c>
    </row>
    <row r="11" spans="2:15" x14ac:dyDescent="0.25">
      <c r="B11" s="125" t="s">
        <v>20</v>
      </c>
      <c r="C11" s="129">
        <f t="shared" ref="C11:N11" si="7">C54+C78+C100+C122+C144+C168+C206</f>
        <v>3128</v>
      </c>
      <c r="D11" s="129">
        <f t="shared" si="7"/>
        <v>3037</v>
      </c>
      <c r="E11" s="129">
        <f t="shared" si="7"/>
        <v>3444</v>
      </c>
      <c r="F11" s="129">
        <f t="shared" si="7"/>
        <v>3724</v>
      </c>
      <c r="G11" s="129">
        <f t="shared" si="7"/>
        <v>2838</v>
      </c>
      <c r="H11" s="129">
        <f t="shared" si="7"/>
        <v>2596</v>
      </c>
      <c r="I11" s="129">
        <f t="shared" si="7"/>
        <v>2924</v>
      </c>
      <c r="J11" s="129">
        <f t="shared" si="7"/>
        <v>3169</v>
      </c>
      <c r="K11" s="129">
        <f t="shared" si="7"/>
        <v>3034</v>
      </c>
      <c r="L11" s="130">
        <f t="shared" si="7"/>
        <v>3439</v>
      </c>
      <c r="M11" s="130">
        <f t="shared" si="7"/>
        <v>3598</v>
      </c>
      <c r="N11" s="130">
        <f t="shared" si="7"/>
        <v>3426</v>
      </c>
      <c r="O11" s="129">
        <f t="shared" si="1"/>
        <v>38357</v>
      </c>
    </row>
    <row r="12" spans="2:15" x14ac:dyDescent="0.25">
      <c r="B12" s="125" t="s">
        <v>74</v>
      </c>
      <c r="C12" s="131">
        <f t="shared" ref="C12:O12" si="8">C9/C7</f>
        <v>3.15625</v>
      </c>
      <c r="D12" s="131">
        <f t="shared" si="8"/>
        <v>3.4107142857142856</v>
      </c>
      <c r="E12" s="131">
        <f t="shared" si="8"/>
        <v>3.2580246913580249</v>
      </c>
      <c r="F12" s="131">
        <f t="shared" si="8"/>
        <v>3.3465346534653464</v>
      </c>
      <c r="G12" s="131">
        <f t="shared" si="8"/>
        <v>3.1573187414500685</v>
      </c>
      <c r="H12" s="131">
        <f t="shared" si="8"/>
        <v>3.3171521035598706</v>
      </c>
      <c r="I12" s="131">
        <f t="shared" si="8"/>
        <v>3.2139860139860139</v>
      </c>
      <c r="J12" s="131">
        <f t="shared" si="8"/>
        <v>3.0555555555555554</v>
      </c>
      <c r="K12" s="131">
        <f t="shared" si="8"/>
        <v>3.2944</v>
      </c>
      <c r="L12" s="132">
        <f t="shared" si="8"/>
        <v>3.4658925979680695</v>
      </c>
      <c r="M12" s="132">
        <f t="shared" si="8"/>
        <v>3.2875000000000001</v>
      </c>
      <c r="N12" s="132">
        <f t="shared" si="8"/>
        <v>3.360655737704918</v>
      </c>
      <c r="O12" s="131">
        <f t="shared" si="8"/>
        <v>3.2737089201877936</v>
      </c>
    </row>
    <row r="13" spans="2:15" x14ac:dyDescent="0.25">
      <c r="B13" s="125" t="s">
        <v>75</v>
      </c>
      <c r="C13" s="131">
        <f>C9/C7</f>
        <v>3.15625</v>
      </c>
      <c r="D13" s="131">
        <f t="shared" ref="D13:O13" si="9">D9/D7</f>
        <v>3.4107142857142856</v>
      </c>
      <c r="E13" s="131">
        <f t="shared" si="9"/>
        <v>3.2580246913580249</v>
      </c>
      <c r="F13" s="131">
        <f t="shared" si="9"/>
        <v>3.3465346534653464</v>
      </c>
      <c r="G13" s="131">
        <f t="shared" si="9"/>
        <v>3.1573187414500685</v>
      </c>
      <c r="H13" s="131">
        <f t="shared" si="9"/>
        <v>3.3171521035598706</v>
      </c>
      <c r="I13" s="131">
        <f t="shared" si="9"/>
        <v>3.2139860139860139</v>
      </c>
      <c r="J13" s="131">
        <f t="shared" si="9"/>
        <v>3.0555555555555554</v>
      </c>
      <c r="K13" s="131">
        <f t="shared" si="9"/>
        <v>3.2944</v>
      </c>
      <c r="L13" s="131">
        <f t="shared" si="9"/>
        <v>3.4658925979680695</v>
      </c>
      <c r="M13" s="131">
        <f t="shared" si="9"/>
        <v>3.2875000000000001</v>
      </c>
      <c r="N13" s="131">
        <f t="shared" si="9"/>
        <v>3.360655737704918</v>
      </c>
      <c r="O13" s="131">
        <f t="shared" si="9"/>
        <v>3.2737089201877936</v>
      </c>
    </row>
    <row r="14" spans="2:15" x14ac:dyDescent="0.25">
      <c r="B14" s="133" t="s">
        <v>76</v>
      </c>
      <c r="C14" s="131">
        <f t="shared" ref="C14:N14" si="10">C9/C8*100</f>
        <v>44.428152492668623</v>
      </c>
      <c r="D14" s="131">
        <f t="shared" si="10"/>
        <v>50.38555194805194</v>
      </c>
      <c r="E14" s="131">
        <f t="shared" si="10"/>
        <v>48.368768328445746</v>
      </c>
      <c r="F14" s="131">
        <f t="shared" si="10"/>
        <v>44.810606060606062</v>
      </c>
      <c r="G14" s="131">
        <f t="shared" si="10"/>
        <v>42.302052785923756</v>
      </c>
      <c r="H14" s="131">
        <f t="shared" si="10"/>
        <v>38.825757575757578</v>
      </c>
      <c r="I14" s="131">
        <f t="shared" si="10"/>
        <v>42.118768328445746</v>
      </c>
      <c r="J14" s="131">
        <f t="shared" si="10"/>
        <v>41.330645161290327</v>
      </c>
      <c r="K14" s="131">
        <f t="shared" si="10"/>
        <v>38.996212121212118</v>
      </c>
      <c r="L14" s="132">
        <f t="shared" si="10"/>
        <v>43.768328445747798</v>
      </c>
      <c r="M14" s="132">
        <f t="shared" si="10"/>
        <v>44.829545454545453</v>
      </c>
      <c r="N14" s="132">
        <f t="shared" si="10"/>
        <v>41.330645161290327</v>
      </c>
      <c r="O14" s="131">
        <f>O9/O8*100</f>
        <v>43.418430884184311</v>
      </c>
    </row>
    <row r="15" spans="2:15" x14ac:dyDescent="0.25">
      <c r="B15" s="125" t="s">
        <v>77</v>
      </c>
      <c r="C15" s="131">
        <f>C7/C5</f>
        <v>4.3636363636363633</v>
      </c>
      <c r="D15" s="131">
        <f t="shared" ref="D15:N15" si="11">D7/D5</f>
        <v>4.1363636363636367</v>
      </c>
      <c r="E15" s="131">
        <f t="shared" si="11"/>
        <v>4.6022727272727275</v>
      </c>
      <c r="F15" s="131">
        <f t="shared" si="11"/>
        <v>4.0170454545454541</v>
      </c>
      <c r="G15" s="131">
        <f t="shared" si="11"/>
        <v>4.1534090909090908</v>
      </c>
      <c r="H15" s="131">
        <f t="shared" si="11"/>
        <v>3.5113636363636362</v>
      </c>
      <c r="I15" s="131">
        <f t="shared" si="11"/>
        <v>4.0625</v>
      </c>
      <c r="J15" s="131">
        <f t="shared" si="11"/>
        <v>4.1931818181818183</v>
      </c>
      <c r="K15" s="131">
        <f t="shared" si="11"/>
        <v>3.5511363636363638</v>
      </c>
      <c r="L15" s="132">
        <f t="shared" si="11"/>
        <v>3.9147727272727271</v>
      </c>
      <c r="M15" s="132">
        <f t="shared" si="11"/>
        <v>4.0909090909090908</v>
      </c>
      <c r="N15" s="132">
        <f t="shared" si="11"/>
        <v>3.8125</v>
      </c>
      <c r="O15" s="131">
        <f>O7/O5</f>
        <v>4.0340909090909092</v>
      </c>
    </row>
    <row r="16" spans="2:15" x14ac:dyDescent="0.25">
      <c r="B16" s="125" t="s">
        <v>24</v>
      </c>
      <c r="C16" s="131">
        <f>(C8-C11)/C7</f>
        <v>3.03125</v>
      </c>
      <c r="D16" s="131">
        <f t="shared" ref="D16:N16" si="12">(D8-D11)/D7</f>
        <v>2.5975274725274726</v>
      </c>
      <c r="E16" s="131">
        <f t="shared" si="12"/>
        <v>2.4839506172839507</v>
      </c>
      <c r="F16" s="131">
        <f t="shared" si="12"/>
        <v>2.2008486562942009</v>
      </c>
      <c r="G16" s="131">
        <f t="shared" si="12"/>
        <v>3.5813953488372094</v>
      </c>
      <c r="H16" s="131">
        <f t="shared" si="12"/>
        <v>4.3430420711974111</v>
      </c>
      <c r="I16" s="131">
        <f t="shared" si="12"/>
        <v>3.5412587412587411</v>
      </c>
      <c r="J16" s="131">
        <f t="shared" si="12"/>
        <v>3.0989159891598916</v>
      </c>
      <c r="K16" s="131">
        <f t="shared" si="12"/>
        <v>3.5935999999999999</v>
      </c>
      <c r="L16" s="132">
        <f t="shared" si="12"/>
        <v>2.9274310595065312</v>
      </c>
      <c r="M16" s="132">
        <f>(M8-M11)/M7</f>
        <v>2.3361111111111112</v>
      </c>
      <c r="N16" s="132">
        <f t="shared" si="12"/>
        <v>3.0253353204172875</v>
      </c>
      <c r="O16" s="132">
        <f>(O8-O11)/O7</f>
        <v>3.0379107981220659</v>
      </c>
    </row>
    <row r="17" spans="2:15" x14ac:dyDescent="0.25">
      <c r="B17" s="134" t="s">
        <v>78</v>
      </c>
      <c r="C17" s="131">
        <f>C11/C8*100</f>
        <v>57.331378299120239</v>
      </c>
      <c r="D17" s="131">
        <f t="shared" ref="D17:I17" si="13">D11/D8*100</f>
        <v>61.627435064935064</v>
      </c>
      <c r="E17" s="131">
        <f t="shared" si="13"/>
        <v>63.123167155425222</v>
      </c>
      <c r="F17" s="131">
        <f t="shared" si="13"/>
        <v>70.530303030303031</v>
      </c>
      <c r="G17" s="131">
        <f t="shared" si="13"/>
        <v>52.016129032258064</v>
      </c>
      <c r="H17" s="131">
        <f t="shared" si="13"/>
        <v>49.166666666666664</v>
      </c>
      <c r="I17" s="131">
        <f t="shared" si="13"/>
        <v>53.592375366568909</v>
      </c>
      <c r="J17" s="131">
        <f>J11/J8*100</f>
        <v>58.082844574780054</v>
      </c>
      <c r="K17" s="131">
        <f>K11/K8*100</f>
        <v>57.462121212121211</v>
      </c>
      <c r="L17" s="132">
        <f>L11/L8*100</f>
        <v>63.031524926686224</v>
      </c>
      <c r="M17" s="132">
        <f>M11/M8*100</f>
        <v>68.143939393939391</v>
      </c>
      <c r="N17" s="132">
        <f>N11/N8*100</f>
        <v>62.793255131964813</v>
      </c>
      <c r="O17" s="131">
        <f>SUM(O11*100/O8)</f>
        <v>59.708904109589042</v>
      </c>
    </row>
    <row r="18" spans="2:15" x14ac:dyDescent="0.25">
      <c r="B18" s="135" t="s">
        <v>26</v>
      </c>
      <c r="C18" s="136">
        <f t="shared" ref="C18:O18" si="14">C61+C85+C107+C129+C151+C175+C213</f>
        <v>11</v>
      </c>
      <c r="D18" s="136">
        <f t="shared" si="14"/>
        <v>11</v>
      </c>
      <c r="E18" s="136">
        <f t="shared" si="14"/>
        <v>14</v>
      </c>
      <c r="F18" s="136">
        <f t="shared" si="14"/>
        <v>12</v>
      </c>
      <c r="G18" s="136">
        <f t="shared" si="14"/>
        <v>15</v>
      </c>
      <c r="H18" s="136">
        <f t="shared" si="14"/>
        <v>11</v>
      </c>
      <c r="I18" s="136">
        <f t="shared" si="14"/>
        <v>18</v>
      </c>
      <c r="J18" s="136">
        <f t="shared" si="14"/>
        <v>11</v>
      </c>
      <c r="K18" s="136">
        <f t="shared" si="14"/>
        <v>11</v>
      </c>
      <c r="L18" s="127">
        <f t="shared" si="14"/>
        <v>15</v>
      </c>
      <c r="M18" s="127">
        <f t="shared" si="14"/>
        <v>17</v>
      </c>
      <c r="N18" s="127">
        <f t="shared" si="14"/>
        <v>19</v>
      </c>
      <c r="O18" s="126">
        <f t="shared" si="14"/>
        <v>165</v>
      </c>
    </row>
    <row r="19" spans="2:15" x14ac:dyDescent="0.25">
      <c r="B19" s="135" t="s">
        <v>79</v>
      </c>
      <c r="C19" s="136">
        <f t="shared" ref="C19:O19" si="15">C62+C86+C108+C130+C152+C176+C214</f>
        <v>9</v>
      </c>
      <c r="D19" s="136">
        <f t="shared" si="15"/>
        <v>6</v>
      </c>
      <c r="E19" s="136">
        <f t="shared" si="15"/>
        <v>8</v>
      </c>
      <c r="F19" s="136">
        <f t="shared" si="15"/>
        <v>9</v>
      </c>
      <c r="G19" s="136">
        <f t="shared" si="15"/>
        <v>9</v>
      </c>
      <c r="H19" s="136">
        <f t="shared" si="15"/>
        <v>7</v>
      </c>
      <c r="I19" s="136">
        <f t="shared" si="15"/>
        <v>15</v>
      </c>
      <c r="J19" s="136">
        <f t="shared" si="15"/>
        <v>7</v>
      </c>
      <c r="K19" s="136">
        <f t="shared" si="15"/>
        <v>9</v>
      </c>
      <c r="L19" s="127">
        <f t="shared" si="15"/>
        <v>12</v>
      </c>
      <c r="M19" s="127">
        <f t="shared" si="15"/>
        <v>12</v>
      </c>
      <c r="N19" s="127">
        <f t="shared" si="15"/>
        <v>14</v>
      </c>
      <c r="O19" s="126">
        <f t="shared" si="15"/>
        <v>117</v>
      </c>
    </row>
    <row r="20" spans="2:15" x14ac:dyDescent="0.25">
      <c r="B20" s="135" t="s">
        <v>80</v>
      </c>
      <c r="C20" s="136">
        <f t="shared" ref="C20:O20" si="16">C63+C87+C109+C131+C153+C177+C215</f>
        <v>2</v>
      </c>
      <c r="D20" s="136">
        <f t="shared" si="16"/>
        <v>5</v>
      </c>
      <c r="E20" s="136">
        <f t="shared" si="16"/>
        <v>6</v>
      </c>
      <c r="F20" s="136">
        <f t="shared" si="16"/>
        <v>3</v>
      </c>
      <c r="G20" s="136">
        <f t="shared" si="16"/>
        <v>6</v>
      </c>
      <c r="H20" s="136">
        <f t="shared" si="16"/>
        <v>4</v>
      </c>
      <c r="I20" s="136">
        <f t="shared" si="16"/>
        <v>3</v>
      </c>
      <c r="J20" s="136">
        <f t="shared" si="16"/>
        <v>4</v>
      </c>
      <c r="K20" s="136">
        <f t="shared" si="16"/>
        <v>2</v>
      </c>
      <c r="L20" s="127">
        <f t="shared" si="16"/>
        <v>3</v>
      </c>
      <c r="M20" s="127">
        <f t="shared" si="16"/>
        <v>5</v>
      </c>
      <c r="N20" s="127">
        <f t="shared" si="16"/>
        <v>5</v>
      </c>
      <c r="O20" s="126">
        <f t="shared" si="16"/>
        <v>48</v>
      </c>
    </row>
    <row r="21" spans="2:15" x14ac:dyDescent="0.25">
      <c r="B21" s="125" t="s">
        <v>29</v>
      </c>
      <c r="C21" s="131">
        <f>C18/C7*100</f>
        <v>1.4322916666666665</v>
      </c>
      <c r="D21" s="131">
        <f t="shared" ref="D21:O21" si="17">D18/D7*100</f>
        <v>1.5109890109890109</v>
      </c>
      <c r="E21" s="131">
        <f t="shared" si="17"/>
        <v>1.728395061728395</v>
      </c>
      <c r="F21" s="131">
        <f t="shared" si="17"/>
        <v>1.6973125884016973</v>
      </c>
      <c r="G21" s="131">
        <f t="shared" si="17"/>
        <v>2.0519835841313268</v>
      </c>
      <c r="H21" s="131">
        <f t="shared" si="17"/>
        <v>1.7799352750809061</v>
      </c>
      <c r="I21" s="131">
        <f t="shared" si="17"/>
        <v>2.5174825174825175</v>
      </c>
      <c r="J21" s="131">
        <f t="shared" si="17"/>
        <v>1.4905149051490514</v>
      </c>
      <c r="K21" s="131">
        <f t="shared" si="17"/>
        <v>1.76</v>
      </c>
      <c r="L21" s="132">
        <f t="shared" si="17"/>
        <v>2.1770682148040637</v>
      </c>
      <c r="M21" s="132">
        <f t="shared" si="17"/>
        <v>2.3611111111111112</v>
      </c>
      <c r="N21" s="132">
        <f t="shared" si="17"/>
        <v>2.8315946348733236</v>
      </c>
      <c r="O21" s="131">
        <f t="shared" si="17"/>
        <v>1.936619718309859</v>
      </c>
    </row>
    <row r="22" spans="2:15" x14ac:dyDescent="0.25">
      <c r="B22" s="125" t="s">
        <v>30</v>
      </c>
      <c r="C22" s="131">
        <f>C19/C7*100</f>
        <v>1.171875</v>
      </c>
      <c r="D22" s="131">
        <f t="shared" ref="D22:O22" si="18">D19/D7*100</f>
        <v>0.82417582417582425</v>
      </c>
      <c r="E22" s="131">
        <f t="shared" si="18"/>
        <v>0.98765432098765427</v>
      </c>
      <c r="F22" s="131">
        <f t="shared" si="18"/>
        <v>1.272984441301273</v>
      </c>
      <c r="G22" s="131">
        <f t="shared" si="18"/>
        <v>1.2311901504787961</v>
      </c>
      <c r="H22" s="131">
        <f t="shared" si="18"/>
        <v>1.1326860841423949</v>
      </c>
      <c r="I22" s="131">
        <f t="shared" si="18"/>
        <v>2.0979020979020979</v>
      </c>
      <c r="J22" s="131">
        <f t="shared" si="18"/>
        <v>0.94850948509485089</v>
      </c>
      <c r="K22" s="131">
        <f t="shared" si="18"/>
        <v>1.44</v>
      </c>
      <c r="L22" s="132">
        <f t="shared" si="18"/>
        <v>1.741654571843251</v>
      </c>
      <c r="M22" s="132">
        <f t="shared" si="18"/>
        <v>1.6666666666666667</v>
      </c>
      <c r="N22" s="132">
        <f t="shared" si="18"/>
        <v>2.0864381520119228</v>
      </c>
      <c r="O22" s="131">
        <f t="shared" si="18"/>
        <v>1.3732394366197185</v>
      </c>
    </row>
    <row r="23" spans="2:15" x14ac:dyDescent="0.25">
      <c r="B23" s="125" t="s">
        <v>31</v>
      </c>
      <c r="C23" s="126">
        <f t="shared" ref="C23:N23" si="19">C66+C88+C110+C132+C154+C178+C216</f>
        <v>1</v>
      </c>
      <c r="D23" s="126">
        <f t="shared" si="19"/>
        <v>0</v>
      </c>
      <c r="E23" s="126">
        <f t="shared" si="19"/>
        <v>0</v>
      </c>
      <c r="F23" s="126">
        <f t="shared" si="19"/>
        <v>5</v>
      </c>
      <c r="G23" s="126">
        <f t="shared" si="19"/>
        <v>0</v>
      </c>
      <c r="H23" s="126">
        <f t="shared" si="19"/>
        <v>0</v>
      </c>
      <c r="I23" s="126">
        <f t="shared" si="19"/>
        <v>5</v>
      </c>
      <c r="J23" s="126">
        <f t="shared" si="19"/>
        <v>4</v>
      </c>
      <c r="K23" s="126">
        <f t="shared" si="19"/>
        <v>4</v>
      </c>
      <c r="L23" s="127">
        <f t="shared" si="19"/>
        <v>2</v>
      </c>
      <c r="M23" s="127">
        <f t="shared" si="19"/>
        <v>6</v>
      </c>
      <c r="N23" s="127">
        <f t="shared" si="19"/>
        <v>3</v>
      </c>
      <c r="O23" s="126">
        <f>SUM(C23:N23)</f>
        <v>30</v>
      </c>
    </row>
    <row r="24" spans="2:15" x14ac:dyDescent="0.25">
      <c r="B24" s="125" t="s">
        <v>32</v>
      </c>
      <c r="C24" s="131">
        <f>C23*100/C7</f>
        <v>0.13020833333333334</v>
      </c>
      <c r="D24" s="131">
        <f t="shared" ref="D24:K24" si="20">D23*100/D7</f>
        <v>0</v>
      </c>
      <c r="E24" s="131">
        <f t="shared" si="20"/>
        <v>0</v>
      </c>
      <c r="F24" s="131">
        <f t="shared" si="20"/>
        <v>0.70721357850070721</v>
      </c>
      <c r="G24" s="131">
        <f t="shared" si="20"/>
        <v>0</v>
      </c>
      <c r="H24" s="131">
        <f t="shared" si="20"/>
        <v>0</v>
      </c>
      <c r="I24" s="131">
        <f t="shared" si="20"/>
        <v>0.69930069930069927</v>
      </c>
      <c r="J24" s="131">
        <f t="shared" si="20"/>
        <v>0.54200542005420049</v>
      </c>
      <c r="K24" s="131">
        <f t="shared" si="20"/>
        <v>0.64</v>
      </c>
      <c r="L24" s="132">
        <f>L23*100/L7</f>
        <v>0.29027576197387517</v>
      </c>
      <c r="M24" s="132">
        <f>M23*100/M7</f>
        <v>0.83333333333333337</v>
      </c>
      <c r="N24" s="132">
        <f>N23*100/N7</f>
        <v>0.44709388971684055</v>
      </c>
      <c r="O24" s="131">
        <f>O23*100/O7</f>
        <v>0.352112676056338</v>
      </c>
    </row>
    <row r="25" spans="2:15" x14ac:dyDescent="0.25">
      <c r="B25" s="125" t="s">
        <v>33</v>
      </c>
      <c r="C25" s="126">
        <f>+C179</f>
        <v>262</v>
      </c>
      <c r="D25" s="126">
        <f t="shared" ref="D25:N27" si="21">+D179</f>
        <v>239</v>
      </c>
      <c r="E25" s="126">
        <f t="shared" si="21"/>
        <v>263</v>
      </c>
      <c r="F25" s="126">
        <f t="shared" si="21"/>
        <v>231</v>
      </c>
      <c r="G25" s="126">
        <f t="shared" si="21"/>
        <v>265</v>
      </c>
      <c r="H25" s="126">
        <f t="shared" si="21"/>
        <v>209</v>
      </c>
      <c r="I25" s="126">
        <f t="shared" si="21"/>
        <v>302</v>
      </c>
      <c r="J25" s="126">
        <f t="shared" si="21"/>
        <v>286</v>
      </c>
      <c r="K25" s="126">
        <f t="shared" si="21"/>
        <v>248</v>
      </c>
      <c r="L25" s="127">
        <f t="shared" si="21"/>
        <v>234</v>
      </c>
      <c r="M25" s="127">
        <f t="shared" si="21"/>
        <v>192</v>
      </c>
      <c r="N25" s="127">
        <f t="shared" si="21"/>
        <v>248</v>
      </c>
      <c r="O25" s="126">
        <f t="shared" ref="O25:O38" si="22">SUM(C25:N25)</f>
        <v>2979</v>
      </c>
    </row>
    <row r="26" spans="2:15" x14ac:dyDescent="0.25">
      <c r="B26" s="125" t="s">
        <v>34</v>
      </c>
      <c r="C26" s="126">
        <f t="shared" ref="C26:N29" si="23">+C180</f>
        <v>265</v>
      </c>
      <c r="D26" s="126">
        <f t="shared" si="21"/>
        <v>241</v>
      </c>
      <c r="E26" s="126">
        <f t="shared" si="21"/>
        <v>262</v>
      </c>
      <c r="F26" s="126">
        <f t="shared" si="21"/>
        <v>233</v>
      </c>
      <c r="G26" s="126">
        <f t="shared" si="21"/>
        <v>263</v>
      </c>
      <c r="H26" s="126">
        <f t="shared" si="21"/>
        <v>209</v>
      </c>
      <c r="I26" s="126">
        <f t="shared" si="21"/>
        <v>301</v>
      </c>
      <c r="J26" s="126">
        <f t="shared" si="21"/>
        <v>287</v>
      </c>
      <c r="K26" s="126">
        <f t="shared" si="21"/>
        <v>247</v>
      </c>
      <c r="L26" s="127">
        <f t="shared" si="21"/>
        <v>234</v>
      </c>
      <c r="M26" s="127">
        <f t="shared" si="21"/>
        <v>192</v>
      </c>
      <c r="N26" s="127">
        <f t="shared" si="21"/>
        <v>246</v>
      </c>
      <c r="O26" s="126">
        <f t="shared" si="22"/>
        <v>2980</v>
      </c>
    </row>
    <row r="27" spans="2:15" x14ac:dyDescent="0.25">
      <c r="B27" s="125" t="s">
        <v>35</v>
      </c>
      <c r="C27" s="126">
        <f t="shared" si="23"/>
        <v>55</v>
      </c>
      <c r="D27" s="126">
        <f t="shared" si="21"/>
        <v>51</v>
      </c>
      <c r="E27" s="126">
        <f t="shared" si="21"/>
        <v>60</v>
      </c>
      <c r="F27" s="126">
        <f t="shared" si="21"/>
        <v>39</v>
      </c>
      <c r="G27" s="126">
        <f t="shared" si="21"/>
        <v>60</v>
      </c>
      <c r="H27" s="126">
        <f t="shared" si="21"/>
        <v>56</v>
      </c>
      <c r="I27" s="126">
        <f t="shared" si="21"/>
        <v>50</v>
      </c>
      <c r="J27" s="126">
        <f t="shared" si="21"/>
        <v>63</v>
      </c>
      <c r="K27" s="126">
        <f t="shared" si="21"/>
        <v>50</v>
      </c>
      <c r="L27" s="127">
        <f t="shared" si="21"/>
        <v>67</v>
      </c>
      <c r="M27" s="127">
        <f t="shared" si="21"/>
        <v>68</v>
      </c>
      <c r="N27" s="127">
        <f t="shared" si="21"/>
        <v>47</v>
      </c>
      <c r="O27" s="126">
        <f t="shared" si="22"/>
        <v>666</v>
      </c>
    </row>
    <row r="28" spans="2:15" x14ac:dyDescent="0.25">
      <c r="B28" s="128" t="s">
        <v>36</v>
      </c>
      <c r="C28" s="126">
        <f t="shared" si="23"/>
        <v>83</v>
      </c>
      <c r="D28" s="126">
        <f t="shared" si="23"/>
        <v>68</v>
      </c>
      <c r="E28" s="126">
        <f t="shared" si="23"/>
        <v>112</v>
      </c>
      <c r="F28" s="126">
        <f t="shared" si="23"/>
        <v>86</v>
      </c>
      <c r="G28" s="126">
        <f t="shared" si="23"/>
        <v>94</v>
      </c>
      <c r="H28" s="126">
        <f t="shared" si="23"/>
        <v>69</v>
      </c>
      <c r="I28" s="126">
        <f t="shared" si="23"/>
        <v>116</v>
      </c>
      <c r="J28" s="126">
        <f t="shared" si="23"/>
        <v>113</v>
      </c>
      <c r="K28" s="126">
        <f t="shared" si="23"/>
        <v>95</v>
      </c>
      <c r="L28" s="127">
        <f t="shared" si="23"/>
        <v>78</v>
      </c>
      <c r="M28" s="127">
        <f t="shared" si="23"/>
        <v>75</v>
      </c>
      <c r="N28" s="127">
        <f t="shared" si="23"/>
        <v>96</v>
      </c>
      <c r="O28" s="126">
        <f t="shared" si="22"/>
        <v>1085</v>
      </c>
    </row>
    <row r="29" spans="2:15" x14ac:dyDescent="0.25">
      <c r="B29" s="128" t="s">
        <v>37</v>
      </c>
      <c r="C29" s="126">
        <f t="shared" si="23"/>
        <v>55</v>
      </c>
      <c r="D29" s="126">
        <f t="shared" si="23"/>
        <v>51</v>
      </c>
      <c r="E29" s="126">
        <f t="shared" si="23"/>
        <v>59</v>
      </c>
      <c r="F29" s="126">
        <f t="shared" si="23"/>
        <v>37</v>
      </c>
      <c r="G29" s="126">
        <f t="shared" si="23"/>
        <v>60</v>
      </c>
      <c r="H29" s="126">
        <f t="shared" si="23"/>
        <v>56</v>
      </c>
      <c r="I29" s="126">
        <f t="shared" si="23"/>
        <v>50</v>
      </c>
      <c r="J29" s="126">
        <f t="shared" si="23"/>
        <v>60</v>
      </c>
      <c r="K29" s="126">
        <f t="shared" si="23"/>
        <v>49</v>
      </c>
      <c r="L29" s="127">
        <f t="shared" si="23"/>
        <v>64</v>
      </c>
      <c r="M29" s="127">
        <f t="shared" si="23"/>
        <v>67</v>
      </c>
      <c r="N29" s="127">
        <f t="shared" si="23"/>
        <v>47</v>
      </c>
      <c r="O29" s="126">
        <f t="shared" si="22"/>
        <v>655</v>
      </c>
    </row>
    <row r="30" spans="2:15" x14ac:dyDescent="0.25">
      <c r="B30" s="128" t="s">
        <v>81</v>
      </c>
      <c r="C30" s="126">
        <f t="shared" ref="C30:N38" si="24">+C185</f>
        <v>0</v>
      </c>
      <c r="D30" s="126">
        <f t="shared" si="24"/>
        <v>0</v>
      </c>
      <c r="E30" s="126">
        <f t="shared" si="24"/>
        <v>0</v>
      </c>
      <c r="F30" s="126">
        <f t="shared" si="24"/>
        <v>0</v>
      </c>
      <c r="G30" s="126">
        <f t="shared" si="24"/>
        <v>0</v>
      </c>
      <c r="H30" s="126">
        <f t="shared" si="24"/>
        <v>0</v>
      </c>
      <c r="I30" s="126">
        <f t="shared" si="24"/>
        <v>0</v>
      </c>
      <c r="J30" s="126">
        <f t="shared" si="24"/>
        <v>0</v>
      </c>
      <c r="K30" s="126">
        <f t="shared" si="24"/>
        <v>0</v>
      </c>
      <c r="L30" s="127">
        <f t="shared" si="24"/>
        <v>0</v>
      </c>
      <c r="M30" s="127">
        <f t="shared" si="24"/>
        <v>0</v>
      </c>
      <c r="N30" s="127">
        <f t="shared" si="24"/>
        <v>0</v>
      </c>
      <c r="O30" s="126">
        <f t="shared" si="22"/>
        <v>0</v>
      </c>
    </row>
    <row r="31" spans="2:15" x14ac:dyDescent="0.25">
      <c r="B31" s="128" t="s">
        <v>39</v>
      </c>
      <c r="C31" s="126">
        <f t="shared" si="24"/>
        <v>12</v>
      </c>
      <c r="D31" s="126">
        <f t="shared" si="24"/>
        <v>2</v>
      </c>
      <c r="E31" s="126">
        <f t="shared" si="24"/>
        <v>0</v>
      </c>
      <c r="F31" s="126">
        <f t="shared" si="24"/>
        <v>5</v>
      </c>
      <c r="G31" s="126">
        <f t="shared" si="24"/>
        <v>7</v>
      </c>
      <c r="H31" s="126">
        <f t="shared" si="24"/>
        <v>4</v>
      </c>
      <c r="I31" s="126">
        <f t="shared" si="24"/>
        <v>5</v>
      </c>
      <c r="J31" s="126">
        <f t="shared" si="24"/>
        <v>8</v>
      </c>
      <c r="K31" s="126">
        <f t="shared" si="24"/>
        <v>5</v>
      </c>
      <c r="L31" s="127">
        <f t="shared" si="24"/>
        <v>4</v>
      </c>
      <c r="M31" s="127">
        <f t="shared" si="24"/>
        <v>2</v>
      </c>
      <c r="N31" s="127">
        <f t="shared" si="24"/>
        <v>3</v>
      </c>
      <c r="O31" s="126">
        <f t="shared" si="22"/>
        <v>57</v>
      </c>
    </row>
    <row r="32" spans="2:15" x14ac:dyDescent="0.25">
      <c r="B32" s="128" t="s">
        <v>40</v>
      </c>
      <c r="C32" s="126">
        <f t="shared" si="24"/>
        <v>179</v>
      </c>
      <c r="D32" s="126">
        <f t="shared" si="24"/>
        <v>171</v>
      </c>
      <c r="E32" s="126">
        <f t="shared" si="24"/>
        <v>151</v>
      </c>
      <c r="F32" s="126">
        <f t="shared" si="24"/>
        <v>145</v>
      </c>
      <c r="G32" s="126">
        <f t="shared" si="24"/>
        <v>171</v>
      </c>
      <c r="H32" s="126">
        <f t="shared" si="24"/>
        <v>140</v>
      </c>
      <c r="I32" s="126">
        <f t="shared" si="24"/>
        <v>186</v>
      </c>
      <c r="J32" s="126">
        <f t="shared" si="24"/>
        <v>173</v>
      </c>
      <c r="K32" s="126">
        <f t="shared" si="24"/>
        <v>153</v>
      </c>
      <c r="L32" s="127">
        <f t="shared" si="24"/>
        <v>156</v>
      </c>
      <c r="M32" s="127">
        <f t="shared" si="24"/>
        <v>117</v>
      </c>
      <c r="N32" s="127">
        <f t="shared" si="24"/>
        <v>152</v>
      </c>
      <c r="O32" s="126">
        <f t="shared" si="22"/>
        <v>1894</v>
      </c>
    </row>
    <row r="33" spans="2:15" x14ac:dyDescent="0.25">
      <c r="B33" s="128" t="s">
        <v>41</v>
      </c>
      <c r="C33" s="126">
        <f t="shared" si="24"/>
        <v>1</v>
      </c>
      <c r="D33" s="126">
        <f t="shared" si="24"/>
        <v>0</v>
      </c>
      <c r="E33" s="126">
        <f t="shared" si="24"/>
        <v>0</v>
      </c>
      <c r="F33" s="126">
        <f t="shared" si="24"/>
        <v>0</v>
      </c>
      <c r="G33" s="126">
        <f t="shared" si="24"/>
        <v>0</v>
      </c>
      <c r="H33" s="126">
        <f t="shared" si="24"/>
        <v>0</v>
      </c>
      <c r="I33" s="126">
        <f t="shared" si="24"/>
        <v>0</v>
      </c>
      <c r="J33" s="126">
        <f t="shared" si="24"/>
        <v>1</v>
      </c>
      <c r="K33" s="126">
        <f t="shared" si="24"/>
        <v>0</v>
      </c>
      <c r="L33" s="127">
        <f t="shared" si="24"/>
        <v>0</v>
      </c>
      <c r="M33" s="127">
        <f t="shared" si="24"/>
        <v>0</v>
      </c>
      <c r="N33" s="127">
        <f t="shared" si="24"/>
        <v>0</v>
      </c>
      <c r="O33" s="126">
        <f t="shared" si="22"/>
        <v>2</v>
      </c>
    </row>
    <row r="34" spans="2:15" x14ac:dyDescent="0.25">
      <c r="B34" s="128" t="s">
        <v>82</v>
      </c>
      <c r="C34" s="126">
        <f t="shared" si="24"/>
        <v>0</v>
      </c>
      <c r="D34" s="126">
        <f t="shared" si="24"/>
        <v>0</v>
      </c>
      <c r="E34" s="126">
        <f t="shared" si="24"/>
        <v>0</v>
      </c>
      <c r="F34" s="126">
        <f t="shared" si="24"/>
        <v>0</v>
      </c>
      <c r="G34" s="126">
        <f t="shared" si="24"/>
        <v>0</v>
      </c>
      <c r="H34" s="126">
        <f t="shared" si="24"/>
        <v>0</v>
      </c>
      <c r="I34" s="126">
        <f t="shared" si="24"/>
        <v>0</v>
      </c>
      <c r="J34" s="126">
        <f t="shared" si="24"/>
        <v>0</v>
      </c>
      <c r="K34" s="126">
        <f t="shared" si="24"/>
        <v>0</v>
      </c>
      <c r="L34" s="127">
        <f t="shared" si="24"/>
        <v>0</v>
      </c>
      <c r="M34" s="127">
        <f t="shared" si="24"/>
        <v>0</v>
      </c>
      <c r="N34" s="127">
        <f t="shared" si="24"/>
        <v>0</v>
      </c>
      <c r="O34" s="126">
        <f t="shared" si="22"/>
        <v>0</v>
      </c>
    </row>
    <row r="35" spans="2:15" x14ac:dyDescent="0.25">
      <c r="B35" s="128" t="s">
        <v>42</v>
      </c>
      <c r="C35" s="126">
        <f t="shared" si="24"/>
        <v>16</v>
      </c>
      <c r="D35" s="126">
        <f t="shared" si="24"/>
        <v>19</v>
      </c>
      <c r="E35" s="126">
        <f t="shared" si="24"/>
        <v>20</v>
      </c>
      <c r="F35" s="126">
        <f t="shared" si="24"/>
        <v>20</v>
      </c>
      <c r="G35" s="126">
        <f t="shared" si="24"/>
        <v>25</v>
      </c>
      <c r="H35" s="126">
        <f t="shared" si="24"/>
        <v>13</v>
      </c>
      <c r="I35" s="126">
        <f t="shared" si="24"/>
        <v>26</v>
      </c>
      <c r="J35" s="126">
        <f t="shared" si="24"/>
        <v>18</v>
      </c>
      <c r="K35" s="126">
        <f t="shared" si="24"/>
        <v>19</v>
      </c>
      <c r="L35" s="127">
        <f t="shared" si="24"/>
        <v>23</v>
      </c>
      <c r="M35" s="127">
        <f t="shared" si="24"/>
        <v>10</v>
      </c>
      <c r="N35" s="127">
        <f t="shared" si="24"/>
        <v>16</v>
      </c>
      <c r="O35" s="126">
        <f t="shared" si="22"/>
        <v>225</v>
      </c>
    </row>
    <row r="36" spans="2:15" x14ac:dyDescent="0.25">
      <c r="B36" s="128" t="s">
        <v>43</v>
      </c>
      <c r="C36" s="126">
        <f t="shared" si="24"/>
        <v>0</v>
      </c>
      <c r="D36" s="126">
        <f t="shared" si="24"/>
        <v>1</v>
      </c>
      <c r="E36" s="126">
        <f t="shared" si="24"/>
        <v>2</v>
      </c>
      <c r="F36" s="126">
        <f t="shared" si="24"/>
        <v>0</v>
      </c>
      <c r="G36" s="126">
        <f t="shared" si="24"/>
        <v>1</v>
      </c>
      <c r="H36" s="126">
        <f t="shared" si="24"/>
        <v>1</v>
      </c>
      <c r="I36" s="126">
        <f t="shared" si="24"/>
        <v>1</v>
      </c>
      <c r="J36" s="126">
        <f t="shared" si="24"/>
        <v>1</v>
      </c>
      <c r="K36" s="126">
        <f t="shared" si="24"/>
        <v>0</v>
      </c>
      <c r="L36" s="127">
        <f t="shared" si="24"/>
        <v>0</v>
      </c>
      <c r="M36" s="127">
        <f t="shared" si="24"/>
        <v>1</v>
      </c>
      <c r="N36" s="127">
        <f t="shared" si="24"/>
        <v>2</v>
      </c>
      <c r="O36" s="126">
        <f t="shared" si="22"/>
        <v>10</v>
      </c>
    </row>
    <row r="37" spans="2:15" x14ac:dyDescent="0.25">
      <c r="B37" s="128" t="s">
        <v>44</v>
      </c>
      <c r="C37" s="126">
        <f t="shared" si="24"/>
        <v>2</v>
      </c>
      <c r="D37" s="126">
        <f t="shared" si="24"/>
        <v>3</v>
      </c>
      <c r="E37" s="126">
        <f t="shared" si="24"/>
        <v>5</v>
      </c>
      <c r="F37" s="126">
        <f t="shared" si="24"/>
        <v>1</v>
      </c>
      <c r="G37" s="126">
        <f t="shared" si="24"/>
        <v>5</v>
      </c>
      <c r="H37" s="126">
        <f t="shared" si="24"/>
        <v>3</v>
      </c>
      <c r="I37" s="126">
        <f t="shared" si="24"/>
        <v>2</v>
      </c>
      <c r="J37" s="126">
        <f t="shared" si="24"/>
        <v>3</v>
      </c>
      <c r="K37" s="126">
        <f t="shared" si="24"/>
        <v>3</v>
      </c>
      <c r="L37" s="127">
        <f t="shared" si="24"/>
        <v>0</v>
      </c>
      <c r="M37" s="127">
        <f t="shared" si="24"/>
        <v>2</v>
      </c>
      <c r="N37" s="127">
        <f t="shared" si="24"/>
        <v>1</v>
      </c>
      <c r="O37" s="126">
        <f t="shared" si="22"/>
        <v>30</v>
      </c>
    </row>
    <row r="38" spans="2:15" x14ac:dyDescent="0.25">
      <c r="B38" s="128" t="s">
        <v>83</v>
      </c>
      <c r="C38" s="126">
        <f t="shared" si="24"/>
        <v>0</v>
      </c>
      <c r="D38" s="126">
        <f t="shared" si="24"/>
        <v>1</v>
      </c>
      <c r="E38" s="126">
        <f t="shared" si="24"/>
        <v>1</v>
      </c>
      <c r="F38" s="126">
        <f t="shared" si="24"/>
        <v>0</v>
      </c>
      <c r="G38" s="126">
        <f t="shared" si="24"/>
        <v>1</v>
      </c>
      <c r="H38" s="126">
        <f t="shared" si="24"/>
        <v>1</v>
      </c>
      <c r="I38" s="126">
        <f t="shared" si="24"/>
        <v>0</v>
      </c>
      <c r="J38" s="126">
        <f t="shared" si="24"/>
        <v>1</v>
      </c>
      <c r="K38" s="126">
        <f t="shared" si="24"/>
        <v>0</v>
      </c>
      <c r="L38" s="127">
        <f t="shared" si="24"/>
        <v>0</v>
      </c>
      <c r="M38" s="127">
        <f t="shared" si="24"/>
        <v>1</v>
      </c>
      <c r="N38" s="127">
        <f t="shared" si="24"/>
        <v>1</v>
      </c>
      <c r="O38" s="126">
        <f t="shared" si="22"/>
        <v>7</v>
      </c>
    </row>
    <row r="39" spans="2:15" x14ac:dyDescent="0.25">
      <c r="B39" s="137"/>
      <c r="C39" s="138"/>
      <c r="D39" s="138"/>
      <c r="E39" s="138"/>
      <c r="F39" s="139"/>
      <c r="G39" s="139"/>
      <c r="H39" s="139"/>
      <c r="I39" s="139"/>
      <c r="J39" s="139"/>
      <c r="K39" s="139"/>
      <c r="L39" s="140"/>
      <c r="M39" s="140"/>
      <c r="N39" s="140"/>
      <c r="O39" s="139"/>
    </row>
    <row r="40" spans="2:15" x14ac:dyDescent="0.25">
      <c r="B40" s="141" t="s">
        <v>84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40"/>
      <c r="M40" s="140"/>
      <c r="N40" s="140"/>
      <c r="O40" s="139"/>
    </row>
    <row r="41" spans="2:15" x14ac:dyDescent="0.25">
      <c r="B41" s="141" t="s">
        <v>85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40"/>
      <c r="M41" s="140"/>
      <c r="N41" s="140"/>
      <c r="O41" s="139"/>
    </row>
    <row r="42" spans="2:15" x14ac:dyDescent="0.25">
      <c r="B42" s="141" t="s">
        <v>86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40"/>
      <c r="M42" s="140"/>
      <c r="N42" s="140"/>
      <c r="O42" s="139"/>
    </row>
    <row r="43" spans="2:15" x14ac:dyDescent="0.25">
      <c r="B43" s="141" t="s">
        <v>87</v>
      </c>
      <c r="C43" s="138"/>
      <c r="D43" s="138"/>
      <c r="E43" s="138"/>
      <c r="F43" s="139"/>
      <c r="G43" s="139"/>
      <c r="H43" s="139"/>
      <c r="I43" s="139"/>
      <c r="J43" s="139"/>
      <c r="K43" s="139"/>
      <c r="L43" s="140"/>
      <c r="M43" s="140"/>
      <c r="N43" s="140"/>
      <c r="O43" s="139"/>
    </row>
    <row r="44" spans="2:15" x14ac:dyDescent="0.25">
      <c r="B44" s="1"/>
      <c r="C44" s="139"/>
      <c r="D44" s="139"/>
      <c r="E44" s="139"/>
      <c r="F44" s="139"/>
      <c r="G44" s="139"/>
      <c r="H44" s="139"/>
      <c r="I44" s="139"/>
      <c r="J44" s="139"/>
      <c r="K44" s="139"/>
      <c r="L44" s="140"/>
      <c r="M44" s="140"/>
      <c r="N44" s="140"/>
      <c r="O44" s="139"/>
    </row>
    <row r="45" spans="2:15" ht="15.75" x14ac:dyDescent="0.25">
      <c r="B45" s="193" t="s">
        <v>88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</row>
    <row r="46" spans="2:15" x14ac:dyDescent="0.25">
      <c r="B46" s="7"/>
      <c r="C46" s="139"/>
      <c r="D46" s="139"/>
      <c r="E46" s="139"/>
      <c r="F46" s="139"/>
      <c r="G46" s="139"/>
      <c r="H46" s="139"/>
      <c r="I46" s="139"/>
      <c r="J46" s="139"/>
      <c r="K46" s="139"/>
      <c r="L46" s="140"/>
      <c r="M46" s="140"/>
      <c r="N46" s="140" t="s">
        <v>50</v>
      </c>
      <c r="O46" s="139"/>
    </row>
    <row r="47" spans="2:15" x14ac:dyDescent="0.25">
      <c r="B47" s="7" t="s">
        <v>50</v>
      </c>
      <c r="C47" s="142" t="s">
        <v>1</v>
      </c>
      <c r="D47" s="142" t="s">
        <v>2</v>
      </c>
      <c r="E47" s="142" t="s">
        <v>3</v>
      </c>
      <c r="F47" s="142" t="s">
        <v>4</v>
      </c>
      <c r="G47" s="142" t="s">
        <v>5</v>
      </c>
      <c r="H47" s="142" t="s">
        <v>6</v>
      </c>
      <c r="I47" s="142" t="s">
        <v>7</v>
      </c>
      <c r="J47" s="142" t="s">
        <v>8</v>
      </c>
      <c r="K47" s="143" t="s">
        <v>9</v>
      </c>
      <c r="L47" s="144" t="s">
        <v>10</v>
      </c>
      <c r="M47" s="144" t="s">
        <v>11</v>
      </c>
      <c r="N47" s="144" t="s">
        <v>12</v>
      </c>
      <c r="O47" s="123" t="s">
        <v>13</v>
      </c>
    </row>
    <row r="48" spans="2:15" x14ac:dyDescent="0.25">
      <c r="B48" s="125" t="s">
        <v>14</v>
      </c>
      <c r="C48" s="126">
        <v>40</v>
      </c>
      <c r="D48" s="126">
        <v>40</v>
      </c>
      <c r="E48" s="126">
        <v>40</v>
      </c>
      <c r="F48" s="126">
        <v>40</v>
      </c>
      <c r="G48" s="126">
        <v>40</v>
      </c>
      <c r="H48" s="126">
        <v>40</v>
      </c>
      <c r="I48" s="126">
        <v>40</v>
      </c>
      <c r="J48" s="126">
        <v>40</v>
      </c>
      <c r="K48" s="126">
        <v>40</v>
      </c>
      <c r="L48" s="127">
        <v>40</v>
      </c>
      <c r="M48" s="127">
        <v>40</v>
      </c>
      <c r="N48" s="127">
        <v>40</v>
      </c>
      <c r="O48" s="126">
        <f>SUM(C48:N48)</f>
        <v>480</v>
      </c>
    </row>
    <row r="49" spans="2:15" x14ac:dyDescent="0.25">
      <c r="B49" s="125" t="s">
        <v>15</v>
      </c>
      <c r="C49" s="145">
        <v>97</v>
      </c>
      <c r="D49" s="145">
        <v>78</v>
      </c>
      <c r="E49" s="145">
        <v>84</v>
      </c>
      <c r="F49" s="146">
        <v>87</v>
      </c>
      <c r="G49" s="146">
        <v>71</v>
      </c>
      <c r="H49" s="146">
        <v>66</v>
      </c>
      <c r="I49" s="146">
        <v>78</v>
      </c>
      <c r="J49" s="146">
        <v>78</v>
      </c>
      <c r="K49" s="146">
        <v>77</v>
      </c>
      <c r="L49" s="147">
        <v>88</v>
      </c>
      <c r="M49" s="147">
        <v>94</v>
      </c>
      <c r="N49" s="147">
        <v>65</v>
      </c>
      <c r="O49" s="146">
        <f t="shared" ref="O49:O54" si="25">SUM(C49:N49)</f>
        <v>963</v>
      </c>
    </row>
    <row r="50" spans="2:15" x14ac:dyDescent="0.25">
      <c r="B50" s="125" t="s">
        <v>16</v>
      </c>
      <c r="C50" s="145">
        <v>88</v>
      </c>
      <c r="D50" s="145">
        <v>73</v>
      </c>
      <c r="E50" s="145">
        <v>84</v>
      </c>
      <c r="F50" s="146">
        <v>84</v>
      </c>
      <c r="G50" s="146">
        <v>71</v>
      </c>
      <c r="H50" s="146">
        <v>64</v>
      </c>
      <c r="I50" s="146">
        <v>80</v>
      </c>
      <c r="J50" s="146">
        <v>82</v>
      </c>
      <c r="K50" s="146">
        <v>67</v>
      </c>
      <c r="L50" s="147">
        <v>91</v>
      </c>
      <c r="M50" s="147">
        <v>92</v>
      </c>
      <c r="N50" s="147">
        <v>71</v>
      </c>
      <c r="O50" s="146">
        <f t="shared" si="25"/>
        <v>947</v>
      </c>
    </row>
    <row r="51" spans="2:15" x14ac:dyDescent="0.25">
      <c r="B51" s="125" t="s">
        <v>17</v>
      </c>
      <c r="C51" s="145">
        <f>31*40</f>
        <v>1240</v>
      </c>
      <c r="D51" s="145">
        <v>1120</v>
      </c>
      <c r="E51" s="145">
        <f>31*40</f>
        <v>1240</v>
      </c>
      <c r="F51" s="146">
        <f>40*30</f>
        <v>1200</v>
      </c>
      <c r="G51" s="146">
        <f>40*31</f>
        <v>1240</v>
      </c>
      <c r="H51" s="146">
        <f>40*30</f>
        <v>1200</v>
      </c>
      <c r="I51" s="146">
        <f>31*40</f>
        <v>1240</v>
      </c>
      <c r="J51" s="146">
        <f>31*40</f>
        <v>1240</v>
      </c>
      <c r="K51" s="146">
        <f>30*40</f>
        <v>1200</v>
      </c>
      <c r="L51" s="147">
        <f>31*40</f>
        <v>1240</v>
      </c>
      <c r="M51" s="147">
        <f>30*40</f>
        <v>1200</v>
      </c>
      <c r="N51" s="147">
        <f>31*40</f>
        <v>1240</v>
      </c>
      <c r="O51" s="146">
        <f t="shared" si="25"/>
        <v>14600</v>
      </c>
    </row>
    <row r="52" spans="2:15" x14ac:dyDescent="0.25">
      <c r="B52" s="125" t="s">
        <v>18</v>
      </c>
      <c r="C52" s="145">
        <v>496</v>
      </c>
      <c r="D52" s="145">
        <v>396</v>
      </c>
      <c r="E52" s="145">
        <v>454</v>
      </c>
      <c r="F52" s="146">
        <v>405</v>
      </c>
      <c r="G52" s="146">
        <v>424</v>
      </c>
      <c r="H52" s="146">
        <v>394</v>
      </c>
      <c r="I52" s="146">
        <v>397</v>
      </c>
      <c r="J52" s="146">
        <v>439</v>
      </c>
      <c r="K52" s="146">
        <v>329</v>
      </c>
      <c r="L52" s="147">
        <v>492</v>
      </c>
      <c r="M52" s="147">
        <v>550</v>
      </c>
      <c r="N52" s="147">
        <v>368</v>
      </c>
      <c r="O52" s="146">
        <f t="shared" si="25"/>
        <v>5144</v>
      </c>
    </row>
    <row r="53" spans="2:15" x14ac:dyDescent="0.25">
      <c r="B53" s="125" t="s">
        <v>19</v>
      </c>
      <c r="C53" s="145">
        <v>592</v>
      </c>
      <c r="D53" s="145">
        <v>467</v>
      </c>
      <c r="E53" s="145">
        <v>703</v>
      </c>
      <c r="F53" s="146">
        <v>500</v>
      </c>
      <c r="G53" s="146">
        <v>782</v>
      </c>
      <c r="H53" s="146">
        <v>562</v>
      </c>
      <c r="I53" s="146">
        <v>511</v>
      </c>
      <c r="J53" s="146">
        <v>504</v>
      </c>
      <c r="K53" s="146">
        <v>493</v>
      </c>
      <c r="L53" s="147">
        <v>600</v>
      </c>
      <c r="M53" s="147">
        <v>696</v>
      </c>
      <c r="N53" s="147">
        <v>464</v>
      </c>
      <c r="O53" s="146">
        <f t="shared" si="25"/>
        <v>6874</v>
      </c>
    </row>
    <row r="54" spans="2:15" x14ac:dyDescent="0.25">
      <c r="B54" s="128" t="s">
        <v>51</v>
      </c>
      <c r="C54" s="145">
        <v>839</v>
      </c>
      <c r="D54" s="145">
        <v>867</v>
      </c>
      <c r="E54" s="145">
        <v>899</v>
      </c>
      <c r="F54" s="148">
        <v>795</v>
      </c>
      <c r="G54" s="145">
        <v>604</v>
      </c>
      <c r="H54" s="146">
        <v>654</v>
      </c>
      <c r="I54" s="146">
        <v>689</v>
      </c>
      <c r="J54" s="146">
        <v>794</v>
      </c>
      <c r="K54" s="146">
        <v>698</v>
      </c>
      <c r="L54" s="147">
        <v>874</v>
      </c>
      <c r="M54" s="147">
        <v>921</v>
      </c>
      <c r="N54" s="147">
        <v>722</v>
      </c>
      <c r="O54" s="146">
        <f t="shared" si="25"/>
        <v>9356</v>
      </c>
    </row>
    <row r="55" spans="2:15" x14ac:dyDescent="0.25">
      <c r="B55" s="125" t="s">
        <v>74</v>
      </c>
      <c r="C55" s="149">
        <f t="shared" ref="C55:O55" si="26">C52/C50</f>
        <v>5.6363636363636367</v>
      </c>
      <c r="D55" s="149">
        <f t="shared" si="26"/>
        <v>5.4246575342465757</v>
      </c>
      <c r="E55" s="149">
        <f t="shared" si="26"/>
        <v>5.4047619047619051</v>
      </c>
      <c r="F55" s="150">
        <f t="shared" si="26"/>
        <v>4.8214285714285712</v>
      </c>
      <c r="G55" s="150">
        <f t="shared" si="26"/>
        <v>5.971830985915493</v>
      </c>
      <c r="H55" s="150">
        <f t="shared" si="26"/>
        <v>6.15625</v>
      </c>
      <c r="I55" s="150">
        <f t="shared" si="26"/>
        <v>4.9625000000000004</v>
      </c>
      <c r="J55" s="150">
        <f t="shared" si="26"/>
        <v>5.3536585365853657</v>
      </c>
      <c r="K55" s="150">
        <f t="shared" si="26"/>
        <v>4.91044776119403</v>
      </c>
      <c r="L55" s="151">
        <f t="shared" si="26"/>
        <v>5.4065934065934069</v>
      </c>
      <c r="M55" s="151">
        <f t="shared" si="26"/>
        <v>5.9782608695652177</v>
      </c>
      <c r="N55" s="151">
        <f t="shared" si="26"/>
        <v>5.183098591549296</v>
      </c>
      <c r="O55" s="150">
        <f t="shared" si="26"/>
        <v>5.4318901795142551</v>
      </c>
    </row>
    <row r="56" spans="2:15" x14ac:dyDescent="0.25">
      <c r="B56" s="125" t="s">
        <v>75</v>
      </c>
      <c r="C56" s="149">
        <f t="shared" ref="C56:N56" si="27">C53/C50</f>
        <v>6.7272727272727275</v>
      </c>
      <c r="D56" s="149">
        <f t="shared" si="27"/>
        <v>6.397260273972603</v>
      </c>
      <c r="E56" s="149">
        <f t="shared" si="27"/>
        <v>8.3690476190476186</v>
      </c>
      <c r="F56" s="150">
        <f t="shared" si="27"/>
        <v>5.9523809523809526</v>
      </c>
      <c r="G56" s="150">
        <f t="shared" si="27"/>
        <v>11.014084507042254</v>
      </c>
      <c r="H56" s="150">
        <f t="shared" si="27"/>
        <v>8.78125</v>
      </c>
      <c r="I56" s="150">
        <f t="shared" si="27"/>
        <v>6.3875000000000002</v>
      </c>
      <c r="J56" s="150">
        <f t="shared" si="27"/>
        <v>6.1463414634146343</v>
      </c>
      <c r="K56" s="150">
        <f t="shared" si="27"/>
        <v>7.3582089552238807</v>
      </c>
      <c r="L56" s="151">
        <f t="shared" si="27"/>
        <v>6.5934065934065931</v>
      </c>
      <c r="M56" s="151">
        <f t="shared" si="27"/>
        <v>7.5652173913043477</v>
      </c>
      <c r="N56" s="151">
        <f t="shared" si="27"/>
        <v>6.535211267605634</v>
      </c>
      <c r="O56" s="150">
        <f>O53/O50</f>
        <v>7.2587117212249206</v>
      </c>
    </row>
    <row r="57" spans="2:15" x14ac:dyDescent="0.25">
      <c r="B57" s="128" t="s">
        <v>72</v>
      </c>
      <c r="C57" s="149">
        <f>C52/C51*100</f>
        <v>40</v>
      </c>
      <c r="D57" s="149">
        <f t="shared" ref="D57:G57" si="28">D52/D51*100</f>
        <v>35.357142857142861</v>
      </c>
      <c r="E57" s="149">
        <f t="shared" si="28"/>
        <v>36.612903225806456</v>
      </c>
      <c r="F57" s="149">
        <f t="shared" si="28"/>
        <v>33.75</v>
      </c>
      <c r="G57" s="149">
        <f t="shared" si="28"/>
        <v>34.193548387096776</v>
      </c>
      <c r="H57" s="149">
        <f t="shared" ref="H57:K57" si="29">H53/H51*100</f>
        <v>46.833333333333336</v>
      </c>
      <c r="I57" s="149">
        <f t="shared" si="29"/>
        <v>41.20967741935484</v>
      </c>
      <c r="J57" s="149">
        <f t="shared" si="29"/>
        <v>40.645161290322577</v>
      </c>
      <c r="K57" s="149">
        <f t="shared" si="29"/>
        <v>41.083333333333336</v>
      </c>
      <c r="L57" s="151">
        <f>L52/L51*100</f>
        <v>39.677419354838712</v>
      </c>
      <c r="M57" s="151">
        <f>M52/M51*100</f>
        <v>45.833333333333329</v>
      </c>
      <c r="N57" s="151">
        <f>N52/N51*100</f>
        <v>29.677419354838708</v>
      </c>
      <c r="O57" s="150">
        <f>O52/O51*100</f>
        <v>35.232876712328768</v>
      </c>
    </row>
    <row r="58" spans="2:15" x14ac:dyDescent="0.25">
      <c r="B58" s="125" t="s">
        <v>77</v>
      </c>
      <c r="C58" s="149">
        <f>C50/C48</f>
        <v>2.2000000000000002</v>
      </c>
      <c r="D58" s="149">
        <f t="shared" ref="D58:O58" si="30">D50/D48</f>
        <v>1.825</v>
      </c>
      <c r="E58" s="149">
        <f t="shared" si="30"/>
        <v>2.1</v>
      </c>
      <c r="F58" s="150">
        <f t="shared" si="30"/>
        <v>2.1</v>
      </c>
      <c r="G58" s="150">
        <f t="shared" si="30"/>
        <v>1.7749999999999999</v>
      </c>
      <c r="H58" s="150">
        <f t="shared" si="30"/>
        <v>1.6</v>
      </c>
      <c r="I58" s="150">
        <f t="shared" si="30"/>
        <v>2</v>
      </c>
      <c r="J58" s="150">
        <f t="shared" si="30"/>
        <v>2.0499999999999998</v>
      </c>
      <c r="K58" s="150">
        <f t="shared" si="30"/>
        <v>1.675</v>
      </c>
      <c r="L58" s="151">
        <f t="shared" si="30"/>
        <v>2.2749999999999999</v>
      </c>
      <c r="M58" s="151">
        <f t="shared" si="30"/>
        <v>2.2999999999999998</v>
      </c>
      <c r="N58" s="151">
        <f t="shared" si="30"/>
        <v>1.7749999999999999</v>
      </c>
      <c r="O58" s="150">
        <f t="shared" si="30"/>
        <v>1.9729166666666667</v>
      </c>
    </row>
    <row r="59" spans="2:15" x14ac:dyDescent="0.25">
      <c r="B59" s="125" t="s">
        <v>24</v>
      </c>
      <c r="C59" s="149">
        <v>9.43</v>
      </c>
      <c r="D59" s="149">
        <v>9.76</v>
      </c>
      <c r="E59" s="149">
        <v>6.37</v>
      </c>
      <c r="F59" s="150">
        <v>9.9</v>
      </c>
      <c r="G59" s="150">
        <v>9.8000000000000007</v>
      </c>
      <c r="H59" s="150">
        <v>9.9600000000000009</v>
      </c>
      <c r="I59" s="150">
        <f t="shared" ref="I59:O59" si="31">(I51-I52)/I50</f>
        <v>10.5375</v>
      </c>
      <c r="J59" s="150">
        <f t="shared" si="31"/>
        <v>9.7682926829268286</v>
      </c>
      <c r="K59" s="150">
        <f t="shared" si="31"/>
        <v>13</v>
      </c>
      <c r="L59" s="151">
        <f t="shared" si="31"/>
        <v>8.219780219780219</v>
      </c>
      <c r="M59" s="151">
        <f t="shared" si="31"/>
        <v>7.0652173913043477</v>
      </c>
      <c r="N59" s="151">
        <f t="shared" si="31"/>
        <v>12.28169014084507</v>
      </c>
      <c r="O59" s="150">
        <f t="shared" si="31"/>
        <v>9.9852164730728621</v>
      </c>
    </row>
    <row r="60" spans="2:15" x14ac:dyDescent="0.25">
      <c r="B60" s="125" t="s">
        <v>89</v>
      </c>
      <c r="C60" s="149">
        <f>C54/C51*100</f>
        <v>67.661290322580641</v>
      </c>
      <c r="D60" s="149">
        <f t="shared" ref="D60:O60" si="32">D54/D51*100</f>
        <v>77.410714285714292</v>
      </c>
      <c r="E60" s="149">
        <f t="shared" si="32"/>
        <v>72.5</v>
      </c>
      <c r="F60" s="150">
        <f t="shared" si="32"/>
        <v>66.25</v>
      </c>
      <c r="G60" s="150">
        <f t="shared" si="32"/>
        <v>48.70967741935484</v>
      </c>
      <c r="H60" s="150">
        <f t="shared" si="32"/>
        <v>54.500000000000007</v>
      </c>
      <c r="I60" s="150">
        <f t="shared" si="32"/>
        <v>55.564516129032256</v>
      </c>
      <c r="J60" s="150">
        <f t="shared" si="32"/>
        <v>64.032258064516128</v>
      </c>
      <c r="K60" s="150">
        <f t="shared" si="32"/>
        <v>58.166666666666664</v>
      </c>
      <c r="L60" s="151">
        <f t="shared" si="32"/>
        <v>70.483870967741936</v>
      </c>
      <c r="M60" s="151">
        <f t="shared" si="32"/>
        <v>76.75</v>
      </c>
      <c r="N60" s="151">
        <f t="shared" si="32"/>
        <v>58.225806451612904</v>
      </c>
      <c r="O60" s="150">
        <f t="shared" si="32"/>
        <v>64.082191780821915</v>
      </c>
    </row>
    <row r="61" spans="2:15" x14ac:dyDescent="0.25">
      <c r="B61" s="125" t="s">
        <v>26</v>
      </c>
      <c r="C61" s="145">
        <f>SUM(C62:C63)</f>
        <v>6</v>
      </c>
      <c r="D61" s="145">
        <f t="shared" ref="D61:N61" si="33">SUM(D62:D63)</f>
        <v>5</v>
      </c>
      <c r="E61" s="145">
        <f t="shared" si="33"/>
        <v>6</v>
      </c>
      <c r="F61" s="145">
        <f t="shared" si="33"/>
        <v>8</v>
      </c>
      <c r="G61" s="145">
        <f t="shared" si="33"/>
        <v>11</v>
      </c>
      <c r="H61" s="145">
        <f t="shared" si="33"/>
        <v>7</v>
      </c>
      <c r="I61" s="145">
        <f t="shared" si="33"/>
        <v>10</v>
      </c>
      <c r="J61" s="145">
        <f t="shared" si="33"/>
        <v>5</v>
      </c>
      <c r="K61" s="145">
        <f t="shared" si="33"/>
        <v>8</v>
      </c>
      <c r="L61" s="147">
        <f t="shared" si="33"/>
        <v>9</v>
      </c>
      <c r="M61" s="147">
        <f t="shared" si="33"/>
        <v>11</v>
      </c>
      <c r="N61" s="147">
        <f t="shared" si="33"/>
        <v>12</v>
      </c>
      <c r="O61" s="146">
        <f>SUM(C61:N61)</f>
        <v>98</v>
      </c>
    </row>
    <row r="62" spans="2:15" x14ac:dyDescent="0.25">
      <c r="B62" s="125" t="s">
        <v>52</v>
      </c>
      <c r="C62" s="145">
        <v>5</v>
      </c>
      <c r="D62" s="145">
        <v>3</v>
      </c>
      <c r="E62" s="145">
        <v>5</v>
      </c>
      <c r="F62" s="146">
        <v>5</v>
      </c>
      <c r="G62" s="146">
        <v>7</v>
      </c>
      <c r="H62" s="146">
        <v>6</v>
      </c>
      <c r="I62" s="146">
        <v>7</v>
      </c>
      <c r="J62" s="146">
        <v>5</v>
      </c>
      <c r="K62" s="146">
        <v>7</v>
      </c>
      <c r="L62" s="147">
        <v>7</v>
      </c>
      <c r="M62" s="147">
        <v>9</v>
      </c>
      <c r="N62" s="147">
        <v>10</v>
      </c>
      <c r="O62" s="146">
        <f>SUM(C62:N62)</f>
        <v>76</v>
      </c>
    </row>
    <row r="63" spans="2:15" x14ac:dyDescent="0.25">
      <c r="B63" s="125" t="s">
        <v>53</v>
      </c>
      <c r="C63" s="145">
        <v>1</v>
      </c>
      <c r="D63" s="145">
        <v>2</v>
      </c>
      <c r="E63" s="145">
        <v>1</v>
      </c>
      <c r="F63" s="146">
        <v>3</v>
      </c>
      <c r="G63" s="146">
        <v>4</v>
      </c>
      <c r="H63" s="146">
        <v>1</v>
      </c>
      <c r="I63" s="146">
        <v>3</v>
      </c>
      <c r="J63" s="146">
        <v>0</v>
      </c>
      <c r="K63" s="146">
        <v>1</v>
      </c>
      <c r="L63" s="147">
        <v>2</v>
      </c>
      <c r="M63" s="147">
        <v>2</v>
      </c>
      <c r="N63" s="147">
        <v>2</v>
      </c>
      <c r="O63" s="146">
        <f>SUM(C63:N63)</f>
        <v>22</v>
      </c>
    </row>
    <row r="64" spans="2:15" x14ac:dyDescent="0.25">
      <c r="B64" s="125" t="s">
        <v>29</v>
      </c>
      <c r="C64" s="131">
        <f>C61/C50*100</f>
        <v>6.8181818181818175</v>
      </c>
      <c r="D64" s="131">
        <f t="shared" ref="D64:O64" si="34">D61/D50*100</f>
        <v>6.8493150684931505</v>
      </c>
      <c r="E64" s="131">
        <f t="shared" si="34"/>
        <v>7.1428571428571423</v>
      </c>
      <c r="F64" s="150">
        <f t="shared" si="34"/>
        <v>9.5238095238095237</v>
      </c>
      <c r="G64" s="150">
        <f t="shared" si="34"/>
        <v>15.492957746478872</v>
      </c>
      <c r="H64" s="150">
        <f t="shared" si="34"/>
        <v>10.9375</v>
      </c>
      <c r="I64" s="150">
        <f t="shared" si="34"/>
        <v>12.5</v>
      </c>
      <c r="J64" s="150">
        <f t="shared" si="34"/>
        <v>6.0975609756097562</v>
      </c>
      <c r="K64" s="150">
        <f t="shared" si="34"/>
        <v>11.940298507462686</v>
      </c>
      <c r="L64" s="151">
        <f t="shared" si="34"/>
        <v>9.8901098901098905</v>
      </c>
      <c r="M64" s="151">
        <f t="shared" si="34"/>
        <v>11.956521739130435</v>
      </c>
      <c r="N64" s="151">
        <f t="shared" si="34"/>
        <v>16.901408450704224</v>
      </c>
      <c r="O64" s="150">
        <f t="shared" si="34"/>
        <v>10.348468848996832</v>
      </c>
    </row>
    <row r="65" spans="2:15" x14ac:dyDescent="0.25">
      <c r="B65" s="125" t="s">
        <v>30</v>
      </c>
      <c r="C65" s="131">
        <f>C62/C50*100</f>
        <v>5.6818181818181817</v>
      </c>
      <c r="D65" s="131">
        <f t="shared" ref="D65:O65" si="35">D62/D50*100</f>
        <v>4.10958904109589</v>
      </c>
      <c r="E65" s="131">
        <f t="shared" si="35"/>
        <v>5.9523809523809517</v>
      </c>
      <c r="F65" s="150">
        <f t="shared" si="35"/>
        <v>5.9523809523809517</v>
      </c>
      <c r="G65" s="150">
        <f t="shared" si="35"/>
        <v>9.8591549295774641</v>
      </c>
      <c r="H65" s="150">
        <f t="shared" si="35"/>
        <v>9.375</v>
      </c>
      <c r="I65" s="150">
        <f t="shared" si="35"/>
        <v>8.75</v>
      </c>
      <c r="J65" s="150">
        <f t="shared" si="35"/>
        <v>6.0975609756097562</v>
      </c>
      <c r="K65" s="150">
        <f t="shared" si="35"/>
        <v>10.44776119402985</v>
      </c>
      <c r="L65" s="151">
        <f t="shared" si="35"/>
        <v>7.6923076923076925</v>
      </c>
      <c r="M65" s="151">
        <f t="shared" si="35"/>
        <v>9.7826086956521738</v>
      </c>
      <c r="N65" s="151">
        <f t="shared" si="35"/>
        <v>14.084507042253522</v>
      </c>
      <c r="O65" s="150">
        <f t="shared" si="35"/>
        <v>8.025343189017951</v>
      </c>
    </row>
    <row r="66" spans="2:15" x14ac:dyDescent="0.25">
      <c r="B66" s="125" t="s">
        <v>31</v>
      </c>
      <c r="C66" s="126"/>
      <c r="D66" s="126">
        <v>0</v>
      </c>
      <c r="E66" s="126">
        <v>0</v>
      </c>
      <c r="F66" s="146">
        <v>2</v>
      </c>
      <c r="G66" s="146">
        <v>0</v>
      </c>
      <c r="H66" s="146">
        <v>0</v>
      </c>
      <c r="I66" s="146">
        <v>1</v>
      </c>
      <c r="J66" s="146">
        <v>0</v>
      </c>
      <c r="K66" s="146">
        <v>0</v>
      </c>
      <c r="L66" s="147">
        <v>0</v>
      </c>
      <c r="M66" s="147">
        <v>0</v>
      </c>
      <c r="N66" s="147">
        <v>0</v>
      </c>
      <c r="O66" s="146">
        <f>SUM(C66:N66)</f>
        <v>3</v>
      </c>
    </row>
    <row r="67" spans="2:15" x14ac:dyDescent="0.25">
      <c r="B67" s="152"/>
      <c r="C67" s="153"/>
      <c r="D67" s="153"/>
      <c r="E67" s="153"/>
      <c r="F67" s="153"/>
      <c r="G67" s="153"/>
      <c r="H67" s="153"/>
      <c r="I67" s="154"/>
      <c r="J67" s="153"/>
      <c r="K67" s="153"/>
      <c r="L67" s="155"/>
      <c r="M67" s="155"/>
      <c r="N67" s="155"/>
      <c r="O67" s="153"/>
    </row>
    <row r="68" spans="2:15" x14ac:dyDescent="0.25">
      <c r="B68" s="141"/>
      <c r="C68" s="139"/>
      <c r="D68" s="139"/>
      <c r="E68" s="139"/>
      <c r="F68" s="139"/>
      <c r="G68" s="139"/>
      <c r="H68" s="139"/>
      <c r="I68" s="139"/>
      <c r="J68" s="139"/>
      <c r="K68" s="139"/>
      <c r="L68" s="140"/>
      <c r="M68" s="140"/>
      <c r="N68" s="140"/>
      <c r="O68" s="139"/>
    </row>
    <row r="69" spans="2:15" ht="15.75" x14ac:dyDescent="0.25">
      <c r="B69" s="1"/>
      <c r="C69" s="190" t="s">
        <v>90</v>
      </c>
      <c r="D69" s="190"/>
      <c r="E69" s="190"/>
      <c r="F69" s="190"/>
      <c r="G69" s="190"/>
      <c r="H69" s="190"/>
      <c r="I69" s="190"/>
      <c r="J69" s="190"/>
      <c r="K69" s="190"/>
      <c r="L69" s="190"/>
      <c r="M69" s="140"/>
      <c r="N69" s="140" t="s">
        <v>54</v>
      </c>
      <c r="O69" s="139"/>
    </row>
    <row r="70" spans="2:15" x14ac:dyDescent="0.25">
      <c r="B70" s="1" t="s">
        <v>54</v>
      </c>
      <c r="C70" s="139"/>
      <c r="D70" s="139"/>
      <c r="E70" s="139"/>
      <c r="F70" s="139"/>
      <c r="G70" s="139"/>
      <c r="H70" s="139"/>
      <c r="I70" s="139"/>
      <c r="J70" s="139"/>
      <c r="K70" s="139"/>
      <c r="L70" s="140"/>
      <c r="M70" s="140"/>
      <c r="N70" s="140"/>
      <c r="O70" s="139"/>
    </row>
    <row r="71" spans="2:15" x14ac:dyDescent="0.25">
      <c r="B71" s="1"/>
      <c r="C71" s="123" t="s">
        <v>1</v>
      </c>
      <c r="D71" s="123" t="s">
        <v>2</v>
      </c>
      <c r="E71" s="123" t="s">
        <v>3</v>
      </c>
      <c r="F71" s="123" t="s">
        <v>4</v>
      </c>
      <c r="G71" s="123" t="s">
        <v>5</v>
      </c>
      <c r="H71" s="123" t="s">
        <v>6</v>
      </c>
      <c r="I71" s="123" t="s">
        <v>7</v>
      </c>
      <c r="J71" s="123" t="s">
        <v>8</v>
      </c>
      <c r="K71" s="123" t="s">
        <v>9</v>
      </c>
      <c r="L71" s="124" t="s">
        <v>10</v>
      </c>
      <c r="M71" s="124" t="s">
        <v>11</v>
      </c>
      <c r="N71" s="124" t="s">
        <v>12</v>
      </c>
      <c r="O71" s="123" t="s">
        <v>13</v>
      </c>
    </row>
    <row r="72" spans="2:15" x14ac:dyDescent="0.25">
      <c r="B72" s="125" t="s">
        <v>14</v>
      </c>
      <c r="C72" s="126">
        <v>40</v>
      </c>
      <c r="D72" s="126">
        <v>40</v>
      </c>
      <c r="E72" s="126">
        <v>40</v>
      </c>
      <c r="F72" s="126">
        <v>40</v>
      </c>
      <c r="G72" s="126">
        <v>40</v>
      </c>
      <c r="H72" s="126">
        <v>40</v>
      </c>
      <c r="I72" s="126">
        <v>40</v>
      </c>
      <c r="J72" s="126">
        <v>40</v>
      </c>
      <c r="K72" s="126">
        <v>40</v>
      </c>
      <c r="L72" s="127">
        <v>40</v>
      </c>
      <c r="M72" s="127">
        <v>40</v>
      </c>
      <c r="N72" s="127">
        <v>40</v>
      </c>
      <c r="O72" s="126">
        <f>SUM(C72:N72)</f>
        <v>480</v>
      </c>
    </row>
    <row r="73" spans="2:15" x14ac:dyDescent="0.25">
      <c r="B73" s="125" t="s">
        <v>15</v>
      </c>
      <c r="C73" s="126">
        <v>155</v>
      </c>
      <c r="D73" s="126">
        <v>140</v>
      </c>
      <c r="E73" s="126">
        <v>165</v>
      </c>
      <c r="F73" s="126">
        <v>138</v>
      </c>
      <c r="G73" s="126">
        <v>108</v>
      </c>
      <c r="H73" s="126">
        <v>89</v>
      </c>
      <c r="I73" s="126">
        <v>108</v>
      </c>
      <c r="J73" s="126">
        <v>102</v>
      </c>
      <c r="K73" s="126">
        <v>108</v>
      </c>
      <c r="L73" s="127">
        <v>102</v>
      </c>
      <c r="M73" s="127">
        <v>127</v>
      </c>
      <c r="N73" s="127">
        <v>123</v>
      </c>
      <c r="O73" s="126">
        <f t="shared" ref="O73:O78" si="36">SUM(C73:N73)</f>
        <v>1465</v>
      </c>
    </row>
    <row r="74" spans="2:15" x14ac:dyDescent="0.25">
      <c r="B74" s="125" t="s">
        <v>16</v>
      </c>
      <c r="C74" s="126">
        <v>137</v>
      </c>
      <c r="D74" s="126">
        <v>136</v>
      </c>
      <c r="E74" s="126">
        <v>155</v>
      </c>
      <c r="F74" s="126">
        <v>152</v>
      </c>
      <c r="G74" s="126">
        <v>109</v>
      </c>
      <c r="H74" s="126">
        <v>89</v>
      </c>
      <c r="I74" s="126">
        <v>104</v>
      </c>
      <c r="J74" s="126">
        <v>106</v>
      </c>
      <c r="K74" s="126">
        <v>107</v>
      </c>
      <c r="L74" s="127">
        <v>104</v>
      </c>
      <c r="M74" s="127">
        <v>122</v>
      </c>
      <c r="N74" s="127">
        <v>122</v>
      </c>
      <c r="O74" s="126">
        <f t="shared" si="36"/>
        <v>1443</v>
      </c>
    </row>
    <row r="75" spans="2:15" x14ac:dyDescent="0.25">
      <c r="B75" s="125" t="s">
        <v>17</v>
      </c>
      <c r="C75" s="126">
        <f>31*40</f>
        <v>1240</v>
      </c>
      <c r="D75" s="126">
        <v>1120</v>
      </c>
      <c r="E75" s="126">
        <f>31*40</f>
        <v>1240</v>
      </c>
      <c r="F75" s="126">
        <v>1200</v>
      </c>
      <c r="G75" s="126">
        <f>31*40</f>
        <v>1240</v>
      </c>
      <c r="H75" s="126">
        <f>30*40</f>
        <v>1200</v>
      </c>
      <c r="I75" s="126">
        <f>31*40</f>
        <v>1240</v>
      </c>
      <c r="J75" s="126">
        <f>31*40</f>
        <v>1240</v>
      </c>
      <c r="K75" s="126">
        <f>30*40</f>
        <v>1200</v>
      </c>
      <c r="L75" s="127">
        <f>31*40</f>
        <v>1240</v>
      </c>
      <c r="M75" s="127">
        <f>30*40</f>
        <v>1200</v>
      </c>
      <c r="N75" s="127">
        <f>31*40</f>
        <v>1240</v>
      </c>
      <c r="O75" s="126">
        <f t="shared" si="36"/>
        <v>14600</v>
      </c>
    </row>
    <row r="76" spans="2:15" x14ac:dyDescent="0.25">
      <c r="B76" s="125" t="s">
        <v>18</v>
      </c>
      <c r="C76" s="126">
        <v>592</v>
      </c>
      <c r="D76" s="126">
        <v>877</v>
      </c>
      <c r="E76" s="126">
        <v>751</v>
      </c>
      <c r="F76" s="126">
        <v>788</v>
      </c>
      <c r="G76" s="126">
        <v>557</v>
      </c>
      <c r="H76" s="126">
        <v>513</v>
      </c>
      <c r="I76" s="126">
        <v>601</v>
      </c>
      <c r="J76" s="126">
        <v>555</v>
      </c>
      <c r="K76" s="126">
        <v>557</v>
      </c>
      <c r="L76" s="127">
        <v>609</v>
      </c>
      <c r="M76" s="127">
        <v>603</v>
      </c>
      <c r="N76" s="127">
        <v>649</v>
      </c>
      <c r="O76" s="126">
        <f t="shared" si="36"/>
        <v>7652</v>
      </c>
    </row>
    <row r="77" spans="2:15" x14ac:dyDescent="0.25">
      <c r="B77" s="125" t="s">
        <v>19</v>
      </c>
      <c r="C77" s="126">
        <v>661</v>
      </c>
      <c r="D77" s="126">
        <v>1252</v>
      </c>
      <c r="E77" s="126">
        <v>919</v>
      </c>
      <c r="F77" s="126">
        <v>1029</v>
      </c>
      <c r="G77" s="126">
        <v>722</v>
      </c>
      <c r="H77" s="126">
        <v>726</v>
      </c>
      <c r="I77" s="126">
        <v>924</v>
      </c>
      <c r="J77" s="126">
        <v>696</v>
      </c>
      <c r="K77" s="126">
        <v>670</v>
      </c>
      <c r="L77" s="127">
        <v>785</v>
      </c>
      <c r="M77" s="127">
        <v>762</v>
      </c>
      <c r="N77" s="127">
        <v>897</v>
      </c>
      <c r="O77" s="126">
        <f t="shared" si="36"/>
        <v>10043</v>
      </c>
    </row>
    <row r="78" spans="2:15" x14ac:dyDescent="0.25">
      <c r="B78" s="156" t="s">
        <v>91</v>
      </c>
      <c r="C78" s="126">
        <v>877</v>
      </c>
      <c r="D78" s="126">
        <v>811</v>
      </c>
      <c r="E78" s="126">
        <v>1017</v>
      </c>
      <c r="F78" s="126">
        <v>1037</v>
      </c>
      <c r="G78" s="126">
        <v>798</v>
      </c>
      <c r="H78" s="126">
        <v>655</v>
      </c>
      <c r="I78" s="126">
        <v>699</v>
      </c>
      <c r="J78" s="126">
        <v>717</v>
      </c>
      <c r="K78" s="126">
        <v>791</v>
      </c>
      <c r="L78" s="127">
        <v>799</v>
      </c>
      <c r="M78" s="127">
        <v>873</v>
      </c>
      <c r="N78" s="127">
        <v>808</v>
      </c>
      <c r="O78" s="126">
        <f t="shared" si="36"/>
        <v>9882</v>
      </c>
    </row>
    <row r="79" spans="2:15" x14ac:dyDescent="0.25">
      <c r="B79" s="125" t="s">
        <v>74</v>
      </c>
      <c r="C79" s="131">
        <f t="shared" ref="C79:N79" si="37">C76/C74</f>
        <v>4.3211678832116789</v>
      </c>
      <c r="D79" s="131">
        <f t="shared" si="37"/>
        <v>6.4485294117647056</v>
      </c>
      <c r="E79" s="131">
        <f t="shared" si="37"/>
        <v>4.8451612903225802</v>
      </c>
      <c r="F79" s="131">
        <f t="shared" si="37"/>
        <v>5.1842105263157894</v>
      </c>
      <c r="G79" s="131">
        <f t="shared" si="37"/>
        <v>5.1100917431192663</v>
      </c>
      <c r="H79" s="131">
        <f t="shared" si="37"/>
        <v>5.7640449438202248</v>
      </c>
      <c r="I79" s="131">
        <f t="shared" si="37"/>
        <v>5.7788461538461542</v>
      </c>
      <c r="J79" s="131">
        <f t="shared" si="37"/>
        <v>5.2358490566037732</v>
      </c>
      <c r="K79" s="131">
        <f t="shared" si="37"/>
        <v>5.2056074766355138</v>
      </c>
      <c r="L79" s="132">
        <f t="shared" si="37"/>
        <v>5.8557692307692308</v>
      </c>
      <c r="M79" s="132">
        <f t="shared" si="37"/>
        <v>4.942622950819672</v>
      </c>
      <c r="N79" s="132">
        <f t="shared" si="37"/>
        <v>5.3196721311475406</v>
      </c>
      <c r="O79" s="131">
        <f>O76/O74</f>
        <v>5.3028413028413031</v>
      </c>
    </row>
    <row r="80" spans="2:15" x14ac:dyDescent="0.25">
      <c r="B80" s="125" t="s">
        <v>75</v>
      </c>
      <c r="C80" s="131">
        <f t="shared" ref="C80:N80" si="38">C77/C74</f>
        <v>4.8248175182481754</v>
      </c>
      <c r="D80" s="131">
        <f t="shared" si="38"/>
        <v>9.2058823529411757</v>
      </c>
      <c r="E80" s="131">
        <f t="shared" si="38"/>
        <v>5.9290322580645158</v>
      </c>
      <c r="F80" s="131">
        <f t="shared" si="38"/>
        <v>6.7697368421052628</v>
      </c>
      <c r="G80" s="131">
        <f t="shared" si="38"/>
        <v>6.6238532110091741</v>
      </c>
      <c r="H80" s="131">
        <f t="shared" si="38"/>
        <v>8.1573033707865168</v>
      </c>
      <c r="I80" s="131">
        <f t="shared" si="38"/>
        <v>8.884615384615385</v>
      </c>
      <c r="J80" s="131">
        <f t="shared" si="38"/>
        <v>6.5660377358490569</v>
      </c>
      <c r="K80" s="131">
        <f t="shared" si="38"/>
        <v>6.2616822429906538</v>
      </c>
      <c r="L80" s="132">
        <f t="shared" si="38"/>
        <v>7.5480769230769234</v>
      </c>
      <c r="M80" s="132">
        <f t="shared" si="38"/>
        <v>6.2459016393442619</v>
      </c>
      <c r="N80" s="132">
        <f t="shared" si="38"/>
        <v>7.3524590163934427</v>
      </c>
      <c r="O80" s="131">
        <f>O77/O74</f>
        <v>6.9598059598059594</v>
      </c>
    </row>
    <row r="81" spans="2:15" x14ac:dyDescent="0.25">
      <c r="B81" s="128" t="s">
        <v>76</v>
      </c>
      <c r="C81" s="131">
        <f t="shared" ref="C81:O81" si="39">C76/C75*100</f>
        <v>47.741935483870968</v>
      </c>
      <c r="D81" s="131">
        <f t="shared" si="39"/>
        <v>78.303571428571431</v>
      </c>
      <c r="E81" s="131">
        <f t="shared" si="39"/>
        <v>60.564516129032256</v>
      </c>
      <c r="F81" s="131">
        <f t="shared" si="39"/>
        <v>65.666666666666657</v>
      </c>
      <c r="G81" s="131">
        <f t="shared" si="39"/>
        <v>44.91935483870968</v>
      </c>
      <c r="H81" s="131">
        <f t="shared" si="39"/>
        <v>42.75</v>
      </c>
      <c r="I81" s="131">
        <f t="shared" si="39"/>
        <v>48.467741935483872</v>
      </c>
      <c r="J81" s="131">
        <f t="shared" si="39"/>
        <v>44.758064516129032</v>
      </c>
      <c r="K81" s="131">
        <f t="shared" si="39"/>
        <v>46.416666666666664</v>
      </c>
      <c r="L81" s="132">
        <f t="shared" si="39"/>
        <v>49.112903225806456</v>
      </c>
      <c r="M81" s="132">
        <f t="shared" si="39"/>
        <v>50.249999999999993</v>
      </c>
      <c r="N81" s="132">
        <f t="shared" si="39"/>
        <v>52.338709677419359</v>
      </c>
      <c r="O81" s="131">
        <f t="shared" si="39"/>
        <v>52.410958904109584</v>
      </c>
    </row>
    <row r="82" spans="2:15" x14ac:dyDescent="0.25">
      <c r="B82" s="125" t="s">
        <v>77</v>
      </c>
      <c r="C82" s="131">
        <f>C74/C72</f>
        <v>3.4249999999999998</v>
      </c>
      <c r="D82" s="131">
        <f t="shared" ref="D82:O82" si="40">D74/D72</f>
        <v>3.4</v>
      </c>
      <c r="E82" s="131">
        <f t="shared" si="40"/>
        <v>3.875</v>
      </c>
      <c r="F82" s="131">
        <f t="shared" si="40"/>
        <v>3.8</v>
      </c>
      <c r="G82" s="131">
        <f t="shared" si="40"/>
        <v>2.7250000000000001</v>
      </c>
      <c r="H82" s="131">
        <f t="shared" si="40"/>
        <v>2.2250000000000001</v>
      </c>
      <c r="I82" s="131">
        <f t="shared" si="40"/>
        <v>2.6</v>
      </c>
      <c r="J82" s="131">
        <f t="shared" si="40"/>
        <v>2.65</v>
      </c>
      <c r="K82" s="131">
        <f t="shared" si="40"/>
        <v>2.6749999999999998</v>
      </c>
      <c r="L82" s="132">
        <f t="shared" si="40"/>
        <v>2.6</v>
      </c>
      <c r="M82" s="132">
        <f t="shared" si="40"/>
        <v>3.05</v>
      </c>
      <c r="N82" s="132">
        <f t="shared" si="40"/>
        <v>3.05</v>
      </c>
      <c r="O82" s="131">
        <f t="shared" si="40"/>
        <v>3.0062500000000001</v>
      </c>
    </row>
    <row r="83" spans="2:15" x14ac:dyDescent="0.25">
      <c r="B83" s="125" t="s">
        <v>24</v>
      </c>
      <c r="C83" s="131">
        <f t="shared" ref="C83:O83" si="41">(C75-C76)/C74</f>
        <v>4.7299270072992705</v>
      </c>
      <c r="D83" s="131">
        <f t="shared" si="41"/>
        <v>1.786764705882353</v>
      </c>
      <c r="E83" s="131">
        <f t="shared" si="41"/>
        <v>3.1548387096774193</v>
      </c>
      <c r="F83" s="131">
        <f t="shared" si="41"/>
        <v>2.7105263157894739</v>
      </c>
      <c r="G83" s="131">
        <f t="shared" si="41"/>
        <v>6.2660550458715596</v>
      </c>
      <c r="H83" s="131">
        <f t="shared" si="41"/>
        <v>7.7191011235955056</v>
      </c>
      <c r="I83" s="131">
        <f t="shared" si="41"/>
        <v>6.1442307692307692</v>
      </c>
      <c r="J83" s="131">
        <f t="shared" si="41"/>
        <v>6.4622641509433958</v>
      </c>
      <c r="K83" s="131">
        <f t="shared" si="41"/>
        <v>6.009345794392523</v>
      </c>
      <c r="L83" s="132">
        <f t="shared" si="41"/>
        <v>6.0673076923076925</v>
      </c>
      <c r="M83" s="132">
        <f t="shared" si="41"/>
        <v>4.8934426229508201</v>
      </c>
      <c r="N83" s="132">
        <f t="shared" si="41"/>
        <v>4.8442622950819674</v>
      </c>
      <c r="O83" s="131">
        <f t="shared" si="41"/>
        <v>4.8149688149688146</v>
      </c>
    </row>
    <row r="84" spans="2:15" x14ac:dyDescent="0.25">
      <c r="B84" s="134" t="s">
        <v>92</v>
      </c>
      <c r="C84" s="131">
        <f>C78/C75*100</f>
        <v>70.725806451612911</v>
      </c>
      <c r="D84" s="131">
        <f t="shared" ref="D84:L84" si="42">D78/D75*100</f>
        <v>72.410714285714278</v>
      </c>
      <c r="E84" s="131">
        <f t="shared" si="42"/>
        <v>82.016129032258064</v>
      </c>
      <c r="F84" s="131">
        <f t="shared" si="42"/>
        <v>86.416666666666657</v>
      </c>
      <c r="G84" s="131">
        <f t="shared" si="42"/>
        <v>64.354838709677423</v>
      </c>
      <c r="H84" s="131">
        <f t="shared" si="42"/>
        <v>54.583333333333329</v>
      </c>
      <c r="I84" s="131">
        <f t="shared" si="42"/>
        <v>56.370967741935488</v>
      </c>
      <c r="J84" s="131">
        <f t="shared" si="42"/>
        <v>57.822580645161295</v>
      </c>
      <c r="K84" s="131">
        <f t="shared" si="42"/>
        <v>65.916666666666671</v>
      </c>
      <c r="L84" s="132">
        <f t="shared" si="42"/>
        <v>64.435483870967744</v>
      </c>
      <c r="M84" s="132">
        <f>M78/M75*100</f>
        <v>72.75</v>
      </c>
      <c r="N84" s="132">
        <f>N78/N75*100</f>
        <v>65.161290322580641</v>
      </c>
      <c r="O84" s="131">
        <f>O78/O75*100</f>
        <v>67.68493150684931</v>
      </c>
    </row>
    <row r="85" spans="2:15" x14ac:dyDescent="0.25">
      <c r="B85" s="125" t="s">
        <v>26</v>
      </c>
      <c r="C85" s="126">
        <f>SUM(C86:C87)</f>
        <v>0</v>
      </c>
      <c r="D85" s="126">
        <f t="shared" ref="D85:N85" si="43">SUM(D86:D87)</f>
        <v>0</v>
      </c>
      <c r="E85" s="126">
        <f t="shared" si="43"/>
        <v>0</v>
      </c>
      <c r="F85" s="126">
        <f t="shared" si="43"/>
        <v>1</v>
      </c>
      <c r="G85" s="126">
        <f t="shared" si="43"/>
        <v>0</v>
      </c>
      <c r="H85" s="126">
        <f t="shared" si="43"/>
        <v>0</v>
      </c>
      <c r="I85" s="126">
        <f t="shared" si="43"/>
        <v>2</v>
      </c>
      <c r="J85" s="126">
        <f t="shared" si="43"/>
        <v>1</v>
      </c>
      <c r="K85" s="126">
        <f t="shared" si="43"/>
        <v>0</v>
      </c>
      <c r="L85" s="127">
        <f t="shared" si="43"/>
        <v>1</v>
      </c>
      <c r="M85" s="127">
        <f t="shared" si="43"/>
        <v>0</v>
      </c>
      <c r="N85" s="127">
        <f t="shared" si="43"/>
        <v>0</v>
      </c>
      <c r="O85" s="126">
        <f>SUM(C85:N85)</f>
        <v>5</v>
      </c>
    </row>
    <row r="86" spans="2:15" x14ac:dyDescent="0.25">
      <c r="B86" s="125" t="s">
        <v>79</v>
      </c>
      <c r="C86" s="126">
        <v>0</v>
      </c>
      <c r="D86" s="126">
        <v>0</v>
      </c>
      <c r="E86" s="126">
        <v>0</v>
      </c>
      <c r="F86" s="126">
        <v>1</v>
      </c>
      <c r="G86" s="126">
        <v>0</v>
      </c>
      <c r="H86" s="126">
        <v>0</v>
      </c>
      <c r="I86" s="126">
        <v>2</v>
      </c>
      <c r="J86" s="126">
        <v>1</v>
      </c>
      <c r="K86" s="126">
        <v>0</v>
      </c>
      <c r="L86" s="127">
        <v>1</v>
      </c>
      <c r="M86" s="127">
        <v>0</v>
      </c>
      <c r="N86" s="127">
        <v>0</v>
      </c>
      <c r="O86" s="126">
        <f>SUM(C86:N86)</f>
        <v>5</v>
      </c>
    </row>
    <row r="87" spans="2:15" x14ac:dyDescent="0.25">
      <c r="B87" s="125" t="s">
        <v>80</v>
      </c>
      <c r="C87" s="126">
        <v>0</v>
      </c>
      <c r="D87" s="126">
        <v>0</v>
      </c>
      <c r="E87" s="126">
        <v>0</v>
      </c>
      <c r="F87" s="126">
        <v>0</v>
      </c>
      <c r="G87" s="126">
        <v>0</v>
      </c>
      <c r="H87" s="126">
        <v>0</v>
      </c>
      <c r="I87" s="126">
        <v>0</v>
      </c>
      <c r="J87" s="126">
        <v>0</v>
      </c>
      <c r="K87" s="126">
        <v>0</v>
      </c>
      <c r="L87" s="127">
        <v>0</v>
      </c>
      <c r="M87" s="127">
        <v>0</v>
      </c>
      <c r="N87" s="127">
        <v>0</v>
      </c>
      <c r="O87" s="126">
        <f>SUM(C87:N87)</f>
        <v>0</v>
      </c>
    </row>
    <row r="88" spans="2:15" x14ac:dyDescent="0.25">
      <c r="B88" s="125" t="s">
        <v>31</v>
      </c>
      <c r="C88" s="126"/>
      <c r="D88" s="126">
        <v>0</v>
      </c>
      <c r="E88" s="126">
        <v>0</v>
      </c>
      <c r="F88" s="126">
        <v>2</v>
      </c>
      <c r="G88" s="126">
        <v>0</v>
      </c>
      <c r="H88" s="126">
        <v>0</v>
      </c>
      <c r="I88" s="126">
        <v>1</v>
      </c>
      <c r="J88" s="126">
        <v>0</v>
      </c>
      <c r="K88" s="126">
        <v>0</v>
      </c>
      <c r="L88" s="127">
        <v>0</v>
      </c>
      <c r="M88" s="127">
        <v>1</v>
      </c>
      <c r="N88" s="127">
        <v>0</v>
      </c>
      <c r="O88" s="126">
        <f>SUM(C88:N88)</f>
        <v>4</v>
      </c>
    </row>
    <row r="89" spans="2:15" x14ac:dyDescent="0.25">
      <c r="B89" s="1"/>
      <c r="C89" s="139"/>
      <c r="D89" s="139"/>
      <c r="E89" s="139"/>
      <c r="F89" s="139"/>
      <c r="G89" s="139"/>
      <c r="H89" s="139"/>
      <c r="I89" s="139"/>
      <c r="J89" s="139"/>
      <c r="K89" s="139"/>
      <c r="L89" s="140"/>
      <c r="M89" s="140"/>
      <c r="N89" s="140"/>
      <c r="O89" s="139"/>
    </row>
    <row r="90" spans="2:15" x14ac:dyDescent="0.25">
      <c r="B90" s="141" t="s">
        <v>87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40"/>
      <c r="M90" s="140"/>
      <c r="N90" s="140"/>
      <c r="O90" s="139"/>
    </row>
    <row r="91" spans="2:15" ht="15.75" x14ac:dyDescent="0.25">
      <c r="B91" s="1"/>
      <c r="C91" s="139"/>
      <c r="D91" s="190" t="s">
        <v>93</v>
      </c>
      <c r="E91" s="190"/>
      <c r="F91" s="190"/>
      <c r="G91" s="190"/>
      <c r="H91" s="190"/>
      <c r="I91" s="190"/>
      <c r="J91" s="190"/>
      <c r="K91" s="190"/>
      <c r="L91" s="140"/>
      <c r="M91" s="140" t="s">
        <v>66</v>
      </c>
      <c r="N91" s="140"/>
      <c r="O91" s="139"/>
    </row>
    <row r="92" spans="2:15" x14ac:dyDescent="0.25">
      <c r="B92" s="1" t="s">
        <v>66</v>
      </c>
      <c r="C92" s="139"/>
      <c r="D92" s="139"/>
      <c r="E92" s="139"/>
      <c r="F92" s="139"/>
      <c r="G92" s="139"/>
      <c r="H92" s="139"/>
      <c r="I92" s="139"/>
      <c r="J92" s="139"/>
      <c r="K92" s="139"/>
      <c r="L92" s="140"/>
      <c r="M92" s="140"/>
      <c r="N92" s="140"/>
      <c r="O92" s="139"/>
    </row>
    <row r="93" spans="2:15" x14ac:dyDescent="0.25">
      <c r="B93" s="1"/>
      <c r="C93" s="123" t="s">
        <v>1</v>
      </c>
      <c r="D93" s="123" t="s">
        <v>2</v>
      </c>
      <c r="E93" s="123" t="s">
        <v>3</v>
      </c>
      <c r="F93" s="123" t="s">
        <v>4</v>
      </c>
      <c r="G93" s="123" t="s">
        <v>5</v>
      </c>
      <c r="H93" s="123" t="s">
        <v>6</v>
      </c>
      <c r="I93" s="123" t="s">
        <v>7</v>
      </c>
      <c r="J93" s="123" t="s">
        <v>8</v>
      </c>
      <c r="K93" s="123" t="s">
        <v>9</v>
      </c>
      <c r="L93" s="124" t="s">
        <v>10</v>
      </c>
      <c r="M93" s="124" t="s">
        <v>11</v>
      </c>
      <c r="N93" s="124" t="s">
        <v>12</v>
      </c>
      <c r="O93" s="123" t="s">
        <v>13</v>
      </c>
    </row>
    <row r="94" spans="2:15" x14ac:dyDescent="0.25">
      <c r="B94" s="125" t="s">
        <v>14</v>
      </c>
      <c r="C94" s="126">
        <v>15</v>
      </c>
      <c r="D94" s="126">
        <v>15</v>
      </c>
      <c r="E94" s="126">
        <v>15</v>
      </c>
      <c r="F94" s="126">
        <v>15</v>
      </c>
      <c r="G94" s="126">
        <v>15</v>
      </c>
      <c r="H94" s="126">
        <v>15</v>
      </c>
      <c r="I94" s="126">
        <v>15</v>
      </c>
      <c r="J94" s="126">
        <v>15</v>
      </c>
      <c r="K94" s="126">
        <v>15</v>
      </c>
      <c r="L94" s="127">
        <v>15</v>
      </c>
      <c r="M94" s="127">
        <v>15</v>
      </c>
      <c r="N94" s="127">
        <v>15</v>
      </c>
      <c r="O94" s="126">
        <f>SUM(C94:N94)</f>
        <v>180</v>
      </c>
    </row>
    <row r="95" spans="2:15" x14ac:dyDescent="0.25">
      <c r="B95" s="125" t="s">
        <v>15</v>
      </c>
      <c r="C95" s="126">
        <f t="shared" ref="C95:N95" si="44">C223+C245+C275</f>
        <v>41</v>
      </c>
      <c r="D95" s="126">
        <f t="shared" si="44"/>
        <v>54</v>
      </c>
      <c r="E95" s="126">
        <f t="shared" si="44"/>
        <v>62</v>
      </c>
      <c r="F95" s="126">
        <f t="shared" si="44"/>
        <v>55</v>
      </c>
      <c r="G95" s="126">
        <f t="shared" si="44"/>
        <v>40</v>
      </c>
      <c r="H95" s="126">
        <f t="shared" si="44"/>
        <v>37</v>
      </c>
      <c r="I95" s="126">
        <f t="shared" si="44"/>
        <v>48</v>
      </c>
      <c r="J95" s="126">
        <f t="shared" si="44"/>
        <v>65</v>
      </c>
      <c r="K95" s="126">
        <f t="shared" si="44"/>
        <v>32</v>
      </c>
      <c r="L95" s="127">
        <f t="shared" si="44"/>
        <v>46</v>
      </c>
      <c r="M95" s="127">
        <f t="shared" si="44"/>
        <v>42</v>
      </c>
      <c r="N95" s="127">
        <f t="shared" si="44"/>
        <v>30</v>
      </c>
      <c r="O95" s="126">
        <f t="shared" ref="O95:O100" si="45">SUM(C95:N95)</f>
        <v>552</v>
      </c>
    </row>
    <row r="96" spans="2:15" x14ac:dyDescent="0.25">
      <c r="B96" s="125" t="s">
        <v>16</v>
      </c>
      <c r="C96" s="126">
        <f t="shared" ref="C96:N96" si="46">C224+C246+C276</f>
        <v>35</v>
      </c>
      <c r="D96" s="126">
        <f t="shared" si="46"/>
        <v>53</v>
      </c>
      <c r="E96" s="126">
        <f t="shared" si="46"/>
        <v>62</v>
      </c>
      <c r="F96" s="126">
        <f t="shared" si="46"/>
        <v>49</v>
      </c>
      <c r="G96" s="126">
        <f t="shared" si="46"/>
        <v>47</v>
      </c>
      <c r="H96" s="126">
        <f t="shared" si="46"/>
        <v>31</v>
      </c>
      <c r="I96" s="126">
        <f t="shared" si="46"/>
        <v>50</v>
      </c>
      <c r="J96" s="126">
        <f t="shared" si="46"/>
        <v>62</v>
      </c>
      <c r="K96" s="126">
        <f t="shared" si="46"/>
        <v>33</v>
      </c>
      <c r="L96" s="127">
        <f t="shared" si="46"/>
        <v>47</v>
      </c>
      <c r="M96" s="127">
        <f t="shared" si="46"/>
        <v>44</v>
      </c>
      <c r="N96" s="127">
        <f t="shared" si="46"/>
        <v>27</v>
      </c>
      <c r="O96" s="126">
        <f t="shared" si="45"/>
        <v>540</v>
      </c>
    </row>
    <row r="97" spans="2:15" x14ac:dyDescent="0.25">
      <c r="B97" s="125" t="s">
        <v>17</v>
      </c>
      <c r="C97" s="126">
        <f t="shared" ref="C97:N97" si="47">C225+C247+C277</f>
        <v>465</v>
      </c>
      <c r="D97" s="126">
        <f t="shared" si="47"/>
        <v>420</v>
      </c>
      <c r="E97" s="126">
        <f t="shared" si="47"/>
        <v>465</v>
      </c>
      <c r="F97" s="126">
        <f t="shared" si="47"/>
        <v>450</v>
      </c>
      <c r="G97" s="126">
        <f t="shared" si="47"/>
        <v>465</v>
      </c>
      <c r="H97" s="126">
        <f t="shared" si="47"/>
        <v>450</v>
      </c>
      <c r="I97" s="126">
        <f t="shared" si="47"/>
        <v>465</v>
      </c>
      <c r="J97" s="126">
        <f t="shared" si="47"/>
        <v>465</v>
      </c>
      <c r="K97" s="126">
        <f t="shared" si="47"/>
        <v>450</v>
      </c>
      <c r="L97" s="127">
        <f t="shared" si="47"/>
        <v>465</v>
      </c>
      <c r="M97" s="127">
        <f t="shared" si="47"/>
        <v>450</v>
      </c>
      <c r="N97" s="127">
        <f t="shared" si="47"/>
        <v>465</v>
      </c>
      <c r="O97" s="126">
        <f t="shared" si="45"/>
        <v>5475</v>
      </c>
    </row>
    <row r="98" spans="2:15" x14ac:dyDescent="0.25">
      <c r="B98" s="125" t="s">
        <v>18</v>
      </c>
      <c r="C98" s="126">
        <f t="shared" ref="C98:N98" si="48">C226+C248+C278</f>
        <v>171</v>
      </c>
      <c r="D98" s="126">
        <f t="shared" si="48"/>
        <v>166</v>
      </c>
      <c r="E98" s="126">
        <f t="shared" si="48"/>
        <v>264</v>
      </c>
      <c r="F98" s="126">
        <f t="shared" si="48"/>
        <v>201</v>
      </c>
      <c r="G98" s="126">
        <f t="shared" si="48"/>
        <v>188</v>
      </c>
      <c r="H98" s="126">
        <f t="shared" si="48"/>
        <v>99</v>
      </c>
      <c r="I98" s="157">
        <f t="shared" si="48"/>
        <v>219</v>
      </c>
      <c r="J98" s="126">
        <f t="shared" si="48"/>
        <v>217</v>
      </c>
      <c r="K98" s="126">
        <f t="shared" si="48"/>
        <v>210</v>
      </c>
      <c r="L98" s="127">
        <f t="shared" si="48"/>
        <v>235</v>
      </c>
      <c r="M98" s="127">
        <f t="shared" si="48"/>
        <v>146</v>
      </c>
      <c r="N98" s="127">
        <f t="shared" si="48"/>
        <v>121</v>
      </c>
      <c r="O98" s="126">
        <f t="shared" si="45"/>
        <v>2237</v>
      </c>
    </row>
    <row r="99" spans="2:15" x14ac:dyDescent="0.25">
      <c r="B99" s="125" t="s">
        <v>19</v>
      </c>
      <c r="C99" s="126">
        <f t="shared" ref="C99:N99" si="49">C227+C249+C279</f>
        <v>195</v>
      </c>
      <c r="D99" s="126">
        <f t="shared" si="49"/>
        <v>235</v>
      </c>
      <c r="E99" s="126">
        <f t="shared" si="49"/>
        <v>355</v>
      </c>
      <c r="F99" s="126">
        <f t="shared" si="49"/>
        <v>236</v>
      </c>
      <c r="G99" s="126">
        <f t="shared" si="49"/>
        <v>234</v>
      </c>
      <c r="H99" s="126">
        <f t="shared" si="49"/>
        <v>145</v>
      </c>
      <c r="I99" s="126">
        <f t="shared" si="49"/>
        <v>250</v>
      </c>
      <c r="J99" s="126">
        <f t="shared" si="49"/>
        <v>298</v>
      </c>
      <c r="K99" s="126">
        <f t="shared" si="49"/>
        <v>288</v>
      </c>
      <c r="L99" s="127">
        <f t="shared" si="49"/>
        <v>316</v>
      </c>
      <c r="M99" s="127">
        <f t="shared" si="49"/>
        <v>164</v>
      </c>
      <c r="N99" s="127">
        <f t="shared" si="49"/>
        <v>174</v>
      </c>
      <c r="O99" s="126">
        <f t="shared" si="45"/>
        <v>2890</v>
      </c>
    </row>
    <row r="100" spans="2:15" x14ac:dyDescent="0.25">
      <c r="B100" s="134" t="s">
        <v>59</v>
      </c>
      <c r="C100" s="126">
        <f t="shared" ref="C100:N100" si="50">C228+C250+C280</f>
        <v>172</v>
      </c>
      <c r="D100" s="126">
        <f t="shared" si="50"/>
        <v>192</v>
      </c>
      <c r="E100" s="126">
        <f t="shared" si="50"/>
        <v>235</v>
      </c>
      <c r="F100" s="126">
        <f t="shared" si="50"/>
        <v>364</v>
      </c>
      <c r="G100" s="126">
        <f t="shared" si="50"/>
        <v>147</v>
      </c>
      <c r="H100" s="126">
        <f t="shared" si="50"/>
        <v>146</v>
      </c>
      <c r="I100" s="157">
        <f t="shared" si="50"/>
        <v>185</v>
      </c>
      <c r="J100" s="126">
        <f t="shared" si="50"/>
        <v>165</v>
      </c>
      <c r="K100" s="126">
        <f t="shared" si="50"/>
        <v>202</v>
      </c>
      <c r="L100" s="127">
        <f t="shared" si="50"/>
        <v>252</v>
      </c>
      <c r="M100" s="127">
        <f t="shared" si="50"/>
        <v>163</v>
      </c>
      <c r="N100" s="127">
        <f t="shared" si="50"/>
        <v>200</v>
      </c>
      <c r="O100" s="126">
        <f t="shared" si="45"/>
        <v>2423</v>
      </c>
    </row>
    <row r="101" spans="2:15" x14ac:dyDescent="0.25">
      <c r="B101" s="125" t="s">
        <v>74</v>
      </c>
      <c r="C101" s="131">
        <f t="shared" ref="C101:N101" si="51">C98/C96</f>
        <v>4.8857142857142861</v>
      </c>
      <c r="D101" s="131">
        <f t="shared" si="51"/>
        <v>3.1320754716981134</v>
      </c>
      <c r="E101" s="131">
        <f t="shared" si="51"/>
        <v>4.258064516129032</v>
      </c>
      <c r="F101" s="131">
        <f t="shared" si="51"/>
        <v>4.1020408163265305</v>
      </c>
      <c r="G101" s="131">
        <f t="shared" si="51"/>
        <v>4</v>
      </c>
      <c r="H101" s="131">
        <f t="shared" si="51"/>
        <v>3.193548387096774</v>
      </c>
      <c r="I101" s="131">
        <f t="shared" si="51"/>
        <v>4.38</v>
      </c>
      <c r="J101" s="131">
        <f t="shared" si="51"/>
        <v>3.5</v>
      </c>
      <c r="K101" s="131">
        <f t="shared" si="51"/>
        <v>6.3636363636363633</v>
      </c>
      <c r="L101" s="132">
        <f t="shared" si="51"/>
        <v>5</v>
      </c>
      <c r="M101" s="132">
        <f t="shared" si="51"/>
        <v>3.3181818181818183</v>
      </c>
      <c r="N101" s="132">
        <f t="shared" si="51"/>
        <v>4.4814814814814818</v>
      </c>
      <c r="O101" s="131">
        <f>O98/O96</f>
        <v>4.1425925925925924</v>
      </c>
    </row>
    <row r="102" spans="2:15" x14ac:dyDescent="0.25">
      <c r="B102" s="125" t="s">
        <v>75</v>
      </c>
      <c r="C102" s="131">
        <f t="shared" ref="C102:N102" si="52">C99/C96</f>
        <v>5.5714285714285712</v>
      </c>
      <c r="D102" s="131">
        <f t="shared" si="52"/>
        <v>4.4339622641509431</v>
      </c>
      <c r="E102" s="131">
        <f t="shared" si="52"/>
        <v>5.725806451612903</v>
      </c>
      <c r="F102" s="131">
        <f t="shared" si="52"/>
        <v>4.8163265306122449</v>
      </c>
      <c r="G102" s="131">
        <f t="shared" si="52"/>
        <v>4.9787234042553195</v>
      </c>
      <c r="H102" s="131">
        <f t="shared" si="52"/>
        <v>4.67741935483871</v>
      </c>
      <c r="I102" s="131">
        <f t="shared" si="52"/>
        <v>5</v>
      </c>
      <c r="J102" s="131">
        <f t="shared" si="52"/>
        <v>4.806451612903226</v>
      </c>
      <c r="K102" s="131">
        <f t="shared" si="52"/>
        <v>8.7272727272727266</v>
      </c>
      <c r="L102" s="132">
        <f t="shared" si="52"/>
        <v>6.7234042553191493</v>
      </c>
      <c r="M102" s="132">
        <f t="shared" si="52"/>
        <v>3.7272727272727271</v>
      </c>
      <c r="N102" s="132">
        <f t="shared" si="52"/>
        <v>6.4444444444444446</v>
      </c>
      <c r="O102" s="131">
        <f>O99/O96</f>
        <v>5.3518518518518521</v>
      </c>
    </row>
    <row r="103" spans="2:15" x14ac:dyDescent="0.25">
      <c r="B103" s="128" t="s">
        <v>76</v>
      </c>
      <c r="C103" s="131">
        <f t="shared" ref="C103:O103" si="53">C98/C97*100</f>
        <v>36.774193548387096</v>
      </c>
      <c r="D103" s="131">
        <f t="shared" si="53"/>
        <v>39.523809523809526</v>
      </c>
      <c r="E103" s="131">
        <f t="shared" si="53"/>
        <v>56.774193548387096</v>
      </c>
      <c r="F103" s="131">
        <f t="shared" si="53"/>
        <v>44.666666666666664</v>
      </c>
      <c r="G103" s="131">
        <f t="shared" si="53"/>
        <v>40.43010752688172</v>
      </c>
      <c r="H103" s="131">
        <f t="shared" si="53"/>
        <v>22</v>
      </c>
      <c r="I103" s="131">
        <f t="shared" si="53"/>
        <v>47.096774193548384</v>
      </c>
      <c r="J103" s="131">
        <f t="shared" si="53"/>
        <v>46.666666666666664</v>
      </c>
      <c r="K103" s="131">
        <f t="shared" si="53"/>
        <v>46.666666666666664</v>
      </c>
      <c r="L103" s="132">
        <f t="shared" si="53"/>
        <v>50.537634408602152</v>
      </c>
      <c r="M103" s="132">
        <f t="shared" si="53"/>
        <v>32.444444444444443</v>
      </c>
      <c r="N103" s="132">
        <f t="shared" si="53"/>
        <v>26.021505376344084</v>
      </c>
      <c r="O103" s="131">
        <f t="shared" si="53"/>
        <v>40.858447488584474</v>
      </c>
    </row>
    <row r="104" spans="2:15" x14ac:dyDescent="0.25">
      <c r="B104" s="125" t="s">
        <v>77</v>
      </c>
      <c r="C104" s="131">
        <f>C96/C94</f>
        <v>2.3333333333333335</v>
      </c>
      <c r="D104" s="131">
        <f t="shared" ref="D104:O104" si="54">D96/D94</f>
        <v>3.5333333333333332</v>
      </c>
      <c r="E104" s="131">
        <f t="shared" si="54"/>
        <v>4.1333333333333337</v>
      </c>
      <c r="F104" s="131">
        <f t="shared" si="54"/>
        <v>3.2666666666666666</v>
      </c>
      <c r="G104" s="131">
        <f t="shared" si="54"/>
        <v>3.1333333333333333</v>
      </c>
      <c r="H104" s="131">
        <f t="shared" si="54"/>
        <v>2.0666666666666669</v>
      </c>
      <c r="I104" s="131">
        <f t="shared" si="54"/>
        <v>3.3333333333333335</v>
      </c>
      <c r="J104" s="131">
        <f t="shared" si="54"/>
        <v>4.1333333333333337</v>
      </c>
      <c r="K104" s="131">
        <f t="shared" si="54"/>
        <v>2.2000000000000002</v>
      </c>
      <c r="L104" s="132">
        <f t="shared" si="54"/>
        <v>3.1333333333333333</v>
      </c>
      <c r="M104" s="132">
        <f t="shared" si="54"/>
        <v>2.9333333333333331</v>
      </c>
      <c r="N104" s="132">
        <f t="shared" si="54"/>
        <v>1.8</v>
      </c>
      <c r="O104" s="131">
        <f t="shared" si="54"/>
        <v>3</v>
      </c>
    </row>
    <row r="105" spans="2:15" x14ac:dyDescent="0.25">
      <c r="B105" s="125" t="s">
        <v>24</v>
      </c>
      <c r="C105" s="131">
        <f>(C97-C98)/C96</f>
        <v>8.4</v>
      </c>
      <c r="D105" s="131">
        <f t="shared" ref="D105:O105" si="55">(D97-D98)/D96</f>
        <v>4.7924528301886795</v>
      </c>
      <c r="E105" s="131">
        <f t="shared" si="55"/>
        <v>3.2419354838709675</v>
      </c>
      <c r="F105" s="131">
        <f t="shared" si="55"/>
        <v>5.0816326530612246</v>
      </c>
      <c r="G105" s="131">
        <f t="shared" si="55"/>
        <v>5.8936170212765955</v>
      </c>
      <c r="H105" s="131">
        <f t="shared" si="55"/>
        <v>11.32258064516129</v>
      </c>
      <c r="I105" s="131">
        <f t="shared" si="55"/>
        <v>4.92</v>
      </c>
      <c r="J105" s="131">
        <f t="shared" si="55"/>
        <v>4</v>
      </c>
      <c r="K105" s="131">
        <f t="shared" si="55"/>
        <v>7.2727272727272725</v>
      </c>
      <c r="L105" s="132">
        <f t="shared" si="55"/>
        <v>4.8936170212765955</v>
      </c>
      <c r="M105" s="132">
        <f t="shared" si="55"/>
        <v>6.9090909090909092</v>
      </c>
      <c r="N105" s="132">
        <f t="shared" si="55"/>
        <v>12.74074074074074</v>
      </c>
      <c r="O105" s="131">
        <f t="shared" si="55"/>
        <v>5.996296296296296</v>
      </c>
    </row>
    <row r="106" spans="2:15" x14ac:dyDescent="0.25">
      <c r="B106" s="156" t="s">
        <v>94</v>
      </c>
      <c r="C106" s="131">
        <f>C100/C97*100</f>
        <v>36.989247311827953</v>
      </c>
      <c r="D106" s="131">
        <f t="shared" ref="D106:O106" si="56">D100/D97*100</f>
        <v>45.714285714285715</v>
      </c>
      <c r="E106" s="131">
        <f t="shared" si="56"/>
        <v>50.537634408602152</v>
      </c>
      <c r="F106" s="131">
        <f t="shared" si="56"/>
        <v>80.888888888888886</v>
      </c>
      <c r="G106" s="131">
        <f t="shared" si="56"/>
        <v>31.612903225806448</v>
      </c>
      <c r="H106" s="131">
        <f t="shared" si="56"/>
        <v>32.444444444444443</v>
      </c>
      <c r="I106" s="131">
        <f t="shared" si="56"/>
        <v>39.784946236559136</v>
      </c>
      <c r="J106" s="131">
        <f t="shared" si="56"/>
        <v>35.483870967741936</v>
      </c>
      <c r="K106" s="131">
        <f t="shared" si="56"/>
        <v>44.888888888888886</v>
      </c>
      <c r="L106" s="132">
        <f t="shared" si="56"/>
        <v>54.193548387096783</v>
      </c>
      <c r="M106" s="132">
        <f t="shared" si="56"/>
        <v>36.222222222222221</v>
      </c>
      <c r="N106" s="132">
        <f t="shared" si="56"/>
        <v>43.01075268817204</v>
      </c>
      <c r="O106" s="131">
        <f t="shared" si="56"/>
        <v>44.25570776255708</v>
      </c>
    </row>
    <row r="107" spans="2:15" x14ac:dyDescent="0.25">
      <c r="B107" s="125" t="s">
        <v>26</v>
      </c>
      <c r="C107" s="126">
        <f t="shared" ref="C107:N107" si="57">C235+C257+C287</f>
        <v>0</v>
      </c>
      <c r="D107" s="126">
        <f t="shared" si="57"/>
        <v>1</v>
      </c>
      <c r="E107" s="126">
        <f t="shared" si="57"/>
        <v>2</v>
      </c>
      <c r="F107" s="126">
        <f t="shared" si="57"/>
        <v>1</v>
      </c>
      <c r="G107" s="126">
        <f t="shared" si="57"/>
        <v>2</v>
      </c>
      <c r="H107" s="126">
        <f t="shared" si="57"/>
        <v>1</v>
      </c>
      <c r="I107" s="126">
        <f t="shared" si="57"/>
        <v>1</v>
      </c>
      <c r="J107" s="126">
        <f t="shared" si="57"/>
        <v>2</v>
      </c>
      <c r="K107" s="126">
        <f t="shared" si="57"/>
        <v>0</v>
      </c>
      <c r="L107" s="127">
        <f t="shared" si="57"/>
        <v>1</v>
      </c>
      <c r="M107" s="127">
        <f t="shared" si="57"/>
        <v>1</v>
      </c>
      <c r="N107" s="127">
        <f t="shared" si="57"/>
        <v>3</v>
      </c>
      <c r="O107" s="126">
        <f>SUM(C107:N107)</f>
        <v>15</v>
      </c>
    </row>
    <row r="108" spans="2:15" x14ac:dyDescent="0.25">
      <c r="B108" s="125" t="s">
        <v>79</v>
      </c>
      <c r="C108" s="126">
        <f t="shared" ref="C108:N108" si="58">C236+C258+C288</f>
        <v>0</v>
      </c>
      <c r="D108" s="126">
        <f t="shared" si="58"/>
        <v>0</v>
      </c>
      <c r="E108" s="126">
        <f t="shared" si="58"/>
        <v>0</v>
      </c>
      <c r="F108" s="126">
        <f t="shared" si="58"/>
        <v>1</v>
      </c>
      <c r="G108" s="126">
        <f t="shared" si="58"/>
        <v>0</v>
      </c>
      <c r="H108" s="126">
        <f t="shared" si="58"/>
        <v>0</v>
      </c>
      <c r="I108" s="126">
        <f t="shared" si="58"/>
        <v>1</v>
      </c>
      <c r="J108" s="126">
        <f t="shared" si="58"/>
        <v>0</v>
      </c>
      <c r="K108" s="126">
        <f t="shared" si="58"/>
        <v>0</v>
      </c>
      <c r="L108" s="127">
        <f t="shared" si="58"/>
        <v>1</v>
      </c>
      <c r="M108" s="127">
        <f t="shared" si="58"/>
        <v>0</v>
      </c>
      <c r="N108" s="127">
        <f t="shared" si="58"/>
        <v>2</v>
      </c>
      <c r="O108" s="126">
        <f>SUM(C108:N108)</f>
        <v>5</v>
      </c>
    </row>
    <row r="109" spans="2:15" x14ac:dyDescent="0.25">
      <c r="B109" s="125" t="s">
        <v>80</v>
      </c>
      <c r="C109" s="126">
        <f t="shared" ref="C109:N109" si="59">C237+C259+C289</f>
        <v>0</v>
      </c>
      <c r="D109" s="126">
        <f t="shared" si="59"/>
        <v>1</v>
      </c>
      <c r="E109" s="126">
        <f t="shared" si="59"/>
        <v>2</v>
      </c>
      <c r="F109" s="126">
        <f t="shared" si="59"/>
        <v>0</v>
      </c>
      <c r="G109" s="126">
        <f t="shared" si="59"/>
        <v>2</v>
      </c>
      <c r="H109" s="126">
        <f t="shared" si="59"/>
        <v>1</v>
      </c>
      <c r="I109" s="126">
        <f t="shared" si="59"/>
        <v>0</v>
      </c>
      <c r="J109" s="126">
        <f t="shared" si="59"/>
        <v>2</v>
      </c>
      <c r="K109" s="126">
        <f t="shared" si="59"/>
        <v>0</v>
      </c>
      <c r="L109" s="127">
        <f t="shared" si="59"/>
        <v>0</v>
      </c>
      <c r="M109" s="127">
        <f t="shared" si="59"/>
        <v>1</v>
      </c>
      <c r="N109" s="127">
        <f t="shared" si="59"/>
        <v>1</v>
      </c>
      <c r="O109" s="126">
        <f>SUM(C109:N109)</f>
        <v>10</v>
      </c>
    </row>
    <row r="110" spans="2:15" x14ac:dyDescent="0.25">
      <c r="B110" s="125" t="s">
        <v>31</v>
      </c>
      <c r="C110" s="126">
        <f t="shared" ref="C110:H110" si="60">C238+C260+C290</f>
        <v>0</v>
      </c>
      <c r="D110" s="126">
        <f t="shared" si="60"/>
        <v>0</v>
      </c>
      <c r="E110" s="126">
        <f t="shared" si="60"/>
        <v>0</v>
      </c>
      <c r="F110" s="126">
        <f t="shared" si="60"/>
        <v>0</v>
      </c>
      <c r="G110" s="126">
        <f t="shared" si="60"/>
        <v>0</v>
      </c>
      <c r="H110" s="126">
        <f t="shared" si="60"/>
        <v>0</v>
      </c>
      <c r="I110" s="126">
        <v>0</v>
      </c>
      <c r="J110" s="126">
        <f>J238+J260+J290</f>
        <v>0</v>
      </c>
      <c r="K110" s="126">
        <f>K238+K260+K290</f>
        <v>0</v>
      </c>
      <c r="L110" s="127">
        <f>L238+L260+L290</f>
        <v>0</v>
      </c>
      <c r="M110" s="127">
        <f>M238+M260+M290</f>
        <v>0</v>
      </c>
      <c r="N110" s="127">
        <f>N238+N260+N290</f>
        <v>0</v>
      </c>
      <c r="O110" s="126">
        <f>SUM(C110:N110)</f>
        <v>0</v>
      </c>
    </row>
    <row r="111" spans="2:15" x14ac:dyDescent="0.25">
      <c r="B111" s="158" t="s">
        <v>95</v>
      </c>
      <c r="C111" s="159"/>
      <c r="D111" s="159"/>
      <c r="E111" s="159"/>
      <c r="F111" s="159"/>
      <c r="G111" s="159"/>
      <c r="H111" s="159">
        <v>54</v>
      </c>
      <c r="I111" s="159"/>
      <c r="J111" s="159"/>
      <c r="K111" s="159"/>
      <c r="L111" s="155"/>
      <c r="M111" s="155"/>
      <c r="N111" s="155"/>
      <c r="O111" s="160"/>
    </row>
    <row r="112" spans="2:15" x14ac:dyDescent="0.25">
      <c r="B112" s="162" t="s">
        <v>86</v>
      </c>
      <c r="C112" s="161"/>
      <c r="D112" s="161"/>
      <c r="E112" s="161"/>
      <c r="F112" s="161"/>
      <c r="G112" s="161"/>
      <c r="H112" s="161"/>
      <c r="I112" s="161"/>
      <c r="J112" s="161"/>
      <c r="K112" s="161"/>
      <c r="L112" s="140"/>
      <c r="M112" s="140"/>
      <c r="N112" s="140"/>
      <c r="O112" s="161"/>
    </row>
    <row r="113" spans="2:15" ht="15.75" x14ac:dyDescent="0.25">
      <c r="B113" s="193" t="s">
        <v>96</v>
      </c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</row>
    <row r="114" spans="2:15" x14ac:dyDescent="0.25">
      <c r="B114" s="1" t="s">
        <v>56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40"/>
      <c r="M114" s="140"/>
      <c r="N114" s="140"/>
      <c r="O114" s="139"/>
    </row>
    <row r="115" spans="2:15" x14ac:dyDescent="0.25">
      <c r="B115" s="1"/>
      <c r="C115" s="123" t="s">
        <v>1</v>
      </c>
      <c r="D115" s="123" t="s">
        <v>2</v>
      </c>
      <c r="E115" s="123" t="s">
        <v>3</v>
      </c>
      <c r="F115" s="123" t="s">
        <v>4</v>
      </c>
      <c r="G115" s="123" t="s">
        <v>5</v>
      </c>
      <c r="H115" s="123" t="s">
        <v>6</v>
      </c>
      <c r="I115" s="123" t="s">
        <v>7</v>
      </c>
      <c r="J115" s="123" t="s">
        <v>8</v>
      </c>
      <c r="K115" s="123" t="s">
        <v>9</v>
      </c>
      <c r="L115" s="124" t="s">
        <v>10</v>
      </c>
      <c r="M115" s="124" t="s">
        <v>11</v>
      </c>
      <c r="N115" s="124" t="s">
        <v>12</v>
      </c>
      <c r="O115" s="123" t="s">
        <v>13</v>
      </c>
    </row>
    <row r="116" spans="2:15" x14ac:dyDescent="0.25">
      <c r="B116" s="125" t="s">
        <v>14</v>
      </c>
      <c r="C116" s="126">
        <v>36</v>
      </c>
      <c r="D116" s="126">
        <v>36</v>
      </c>
      <c r="E116" s="126">
        <v>36</v>
      </c>
      <c r="F116" s="126">
        <v>36</v>
      </c>
      <c r="G116" s="126">
        <v>36</v>
      </c>
      <c r="H116" s="126">
        <v>36</v>
      </c>
      <c r="I116" s="126">
        <v>36</v>
      </c>
      <c r="J116" s="126">
        <v>36</v>
      </c>
      <c r="K116" s="126">
        <v>36</v>
      </c>
      <c r="L116" s="127">
        <v>36</v>
      </c>
      <c r="M116" s="127">
        <v>36</v>
      </c>
      <c r="N116" s="127">
        <v>36</v>
      </c>
      <c r="O116" s="126">
        <f>SUM(C116:N116)</f>
        <v>432</v>
      </c>
    </row>
    <row r="117" spans="2:15" x14ac:dyDescent="0.25">
      <c r="B117" s="125" t="s">
        <v>15</v>
      </c>
      <c r="C117" s="126">
        <v>90</v>
      </c>
      <c r="D117" s="126">
        <v>100</v>
      </c>
      <c r="E117" s="126">
        <v>83</v>
      </c>
      <c r="F117" s="126">
        <v>84</v>
      </c>
      <c r="G117" s="126">
        <v>83</v>
      </c>
      <c r="H117" s="126">
        <v>82</v>
      </c>
      <c r="I117" s="126">
        <v>68</v>
      </c>
      <c r="J117" s="126">
        <v>64</v>
      </c>
      <c r="K117" s="126">
        <v>58</v>
      </c>
      <c r="L117" s="127">
        <v>82</v>
      </c>
      <c r="M117" s="127">
        <v>104</v>
      </c>
      <c r="N117" s="127">
        <v>82</v>
      </c>
      <c r="O117" s="126">
        <f t="shared" ref="O117:O122" si="61">SUM(C117:N117)</f>
        <v>980</v>
      </c>
    </row>
    <row r="118" spans="2:15" x14ac:dyDescent="0.25">
      <c r="B118" s="125" t="s">
        <v>16</v>
      </c>
      <c r="C118" s="126">
        <v>91</v>
      </c>
      <c r="D118" s="126">
        <v>93</v>
      </c>
      <c r="E118" s="126">
        <v>85</v>
      </c>
      <c r="F118" s="126">
        <v>85</v>
      </c>
      <c r="G118" s="126">
        <v>81</v>
      </c>
      <c r="H118" s="126">
        <v>82</v>
      </c>
      <c r="I118" s="126">
        <v>76</v>
      </c>
      <c r="J118" s="126">
        <v>61</v>
      </c>
      <c r="K118" s="126">
        <v>52</v>
      </c>
      <c r="L118" s="127">
        <v>79</v>
      </c>
      <c r="M118" s="127">
        <v>109</v>
      </c>
      <c r="N118" s="127">
        <v>77</v>
      </c>
      <c r="O118" s="126">
        <f t="shared" si="61"/>
        <v>971</v>
      </c>
    </row>
    <row r="119" spans="2:15" x14ac:dyDescent="0.25">
      <c r="B119" s="125" t="s">
        <v>17</v>
      </c>
      <c r="C119" s="126">
        <f>31*36</f>
        <v>1116</v>
      </c>
      <c r="D119" s="126">
        <f>36*28</f>
        <v>1008</v>
      </c>
      <c r="E119" s="126">
        <f>31*36</f>
        <v>1116</v>
      </c>
      <c r="F119" s="126">
        <f>36*30</f>
        <v>1080</v>
      </c>
      <c r="G119" s="126">
        <f>36*31</f>
        <v>1116</v>
      </c>
      <c r="H119" s="126">
        <f>30*36</f>
        <v>1080</v>
      </c>
      <c r="I119" s="126">
        <f>31*36</f>
        <v>1116</v>
      </c>
      <c r="J119" s="126">
        <f>31*36</f>
        <v>1116</v>
      </c>
      <c r="K119" s="126">
        <f>30*36</f>
        <v>1080</v>
      </c>
      <c r="L119" s="127">
        <f>31*36</f>
        <v>1116</v>
      </c>
      <c r="M119" s="127">
        <f>30*36</f>
        <v>1080</v>
      </c>
      <c r="N119" s="127">
        <f>31*36</f>
        <v>1116</v>
      </c>
      <c r="O119" s="126">
        <f t="shared" si="61"/>
        <v>13140</v>
      </c>
    </row>
    <row r="120" spans="2:15" x14ac:dyDescent="0.25">
      <c r="B120" s="125" t="s">
        <v>18</v>
      </c>
      <c r="C120" s="126">
        <v>328</v>
      </c>
      <c r="D120" s="126">
        <v>281</v>
      </c>
      <c r="E120" s="126">
        <v>269</v>
      </c>
      <c r="F120" s="126">
        <v>259</v>
      </c>
      <c r="G120" s="126">
        <v>295</v>
      </c>
      <c r="H120" s="126">
        <v>271</v>
      </c>
      <c r="I120" s="126">
        <v>230</v>
      </c>
      <c r="J120" s="126">
        <v>170</v>
      </c>
      <c r="K120" s="126">
        <v>162</v>
      </c>
      <c r="L120" s="127">
        <v>272</v>
      </c>
      <c r="M120" s="127">
        <v>313</v>
      </c>
      <c r="N120" s="127">
        <v>278</v>
      </c>
      <c r="O120" s="126">
        <f t="shared" si="61"/>
        <v>3128</v>
      </c>
    </row>
    <row r="121" spans="2:15" x14ac:dyDescent="0.25">
      <c r="B121" s="125" t="s">
        <v>19</v>
      </c>
      <c r="C121" s="126">
        <v>432</v>
      </c>
      <c r="D121" s="126">
        <v>288</v>
      </c>
      <c r="E121" s="126">
        <v>306</v>
      </c>
      <c r="F121" s="126">
        <v>329</v>
      </c>
      <c r="G121" s="126">
        <v>319</v>
      </c>
      <c r="H121" s="126">
        <v>362</v>
      </c>
      <c r="I121" s="126">
        <v>276</v>
      </c>
      <c r="J121" s="126">
        <v>172</v>
      </c>
      <c r="K121" s="126">
        <v>175</v>
      </c>
      <c r="L121" s="127">
        <v>312</v>
      </c>
      <c r="M121" s="127">
        <v>325</v>
      </c>
      <c r="N121" s="127">
        <v>401</v>
      </c>
      <c r="O121" s="126">
        <f t="shared" si="61"/>
        <v>3697</v>
      </c>
    </row>
    <row r="122" spans="2:15" x14ac:dyDescent="0.25">
      <c r="B122" s="134" t="s">
        <v>97</v>
      </c>
      <c r="C122" s="126">
        <v>333</v>
      </c>
      <c r="D122" s="126">
        <v>304</v>
      </c>
      <c r="E122" s="126">
        <v>342</v>
      </c>
      <c r="F122" s="126">
        <v>390</v>
      </c>
      <c r="G122" s="126">
        <v>331</v>
      </c>
      <c r="H122" s="126">
        <v>337</v>
      </c>
      <c r="I122" s="126">
        <v>268</v>
      </c>
      <c r="J122" s="126">
        <v>243</v>
      </c>
      <c r="K122" s="126">
        <v>233</v>
      </c>
      <c r="L122" s="127">
        <v>344</v>
      </c>
      <c r="M122" s="127">
        <v>400</v>
      </c>
      <c r="N122" s="127">
        <v>306</v>
      </c>
      <c r="O122" s="126">
        <f t="shared" si="61"/>
        <v>3831</v>
      </c>
    </row>
    <row r="123" spans="2:15" x14ac:dyDescent="0.25">
      <c r="B123" s="125" t="s">
        <v>74</v>
      </c>
      <c r="C123" s="131">
        <f t="shared" ref="C123:N123" si="62">C120/C118</f>
        <v>3.6043956043956045</v>
      </c>
      <c r="D123" s="131">
        <f t="shared" si="62"/>
        <v>3.021505376344086</v>
      </c>
      <c r="E123" s="131">
        <f t="shared" si="62"/>
        <v>3.164705882352941</v>
      </c>
      <c r="F123" s="131">
        <f t="shared" si="62"/>
        <v>3.0470588235294116</v>
      </c>
      <c r="G123" s="131">
        <f t="shared" si="62"/>
        <v>3.6419753086419755</v>
      </c>
      <c r="H123" s="131">
        <f t="shared" si="62"/>
        <v>3.3048780487804876</v>
      </c>
      <c r="I123" s="131">
        <f t="shared" si="62"/>
        <v>3.0263157894736841</v>
      </c>
      <c r="J123" s="131">
        <f t="shared" si="62"/>
        <v>2.7868852459016393</v>
      </c>
      <c r="K123" s="131">
        <f t="shared" si="62"/>
        <v>3.1153846153846154</v>
      </c>
      <c r="L123" s="132">
        <f t="shared" si="62"/>
        <v>3.4430379746835444</v>
      </c>
      <c r="M123" s="132">
        <f t="shared" si="62"/>
        <v>2.8715596330275228</v>
      </c>
      <c r="N123" s="132">
        <f t="shared" si="62"/>
        <v>3.6103896103896105</v>
      </c>
      <c r="O123" s="131">
        <f>O120/O118</f>
        <v>3.2214212152420187</v>
      </c>
    </row>
    <row r="124" spans="2:15" x14ac:dyDescent="0.25">
      <c r="B124" s="125" t="s">
        <v>75</v>
      </c>
      <c r="C124" s="131">
        <f t="shared" ref="C124:O124" si="63">C121/C118</f>
        <v>4.7472527472527473</v>
      </c>
      <c r="D124" s="131">
        <f t="shared" si="63"/>
        <v>3.096774193548387</v>
      </c>
      <c r="E124" s="131">
        <f t="shared" si="63"/>
        <v>3.6</v>
      </c>
      <c r="F124" s="131">
        <f t="shared" si="63"/>
        <v>3.8705882352941177</v>
      </c>
      <c r="G124" s="131">
        <f t="shared" si="63"/>
        <v>3.9382716049382718</v>
      </c>
      <c r="H124" s="131">
        <f t="shared" si="63"/>
        <v>4.4146341463414638</v>
      </c>
      <c r="I124" s="131">
        <f t="shared" si="63"/>
        <v>3.6315789473684212</v>
      </c>
      <c r="J124" s="131">
        <f t="shared" si="63"/>
        <v>2.819672131147541</v>
      </c>
      <c r="K124" s="131">
        <f t="shared" si="63"/>
        <v>3.3653846153846154</v>
      </c>
      <c r="L124" s="132">
        <f t="shared" si="63"/>
        <v>3.9493670886075951</v>
      </c>
      <c r="M124" s="132">
        <f t="shared" si="63"/>
        <v>2.9816513761467891</v>
      </c>
      <c r="N124" s="132">
        <f t="shared" si="63"/>
        <v>5.2077922077922079</v>
      </c>
      <c r="O124" s="131">
        <f t="shared" si="63"/>
        <v>3.8074150360453141</v>
      </c>
    </row>
    <row r="125" spans="2:15" x14ac:dyDescent="0.25">
      <c r="B125" s="128" t="s">
        <v>76</v>
      </c>
      <c r="C125" s="131">
        <f t="shared" ref="C125:O125" si="64">C120/C119*100</f>
        <v>29.390681003584231</v>
      </c>
      <c r="D125" s="131">
        <f t="shared" si="64"/>
        <v>27.876984126984127</v>
      </c>
      <c r="E125" s="131">
        <f t="shared" si="64"/>
        <v>24.103942652329749</v>
      </c>
      <c r="F125" s="131">
        <f t="shared" si="64"/>
        <v>23.981481481481481</v>
      </c>
      <c r="G125" s="131">
        <f t="shared" si="64"/>
        <v>26.433691756272403</v>
      </c>
      <c r="H125" s="131">
        <f t="shared" si="64"/>
        <v>25.092592592592595</v>
      </c>
      <c r="I125" s="131">
        <f t="shared" si="64"/>
        <v>20.609318996415769</v>
      </c>
      <c r="J125" s="131">
        <f t="shared" si="64"/>
        <v>15.232974910394265</v>
      </c>
      <c r="K125" s="131">
        <f t="shared" si="64"/>
        <v>15</v>
      </c>
      <c r="L125" s="132">
        <f t="shared" si="64"/>
        <v>24.372759856630825</v>
      </c>
      <c r="M125" s="132">
        <f t="shared" si="64"/>
        <v>28.981481481481481</v>
      </c>
      <c r="N125" s="132">
        <f t="shared" si="64"/>
        <v>24.910394265232974</v>
      </c>
      <c r="O125" s="131">
        <f t="shared" si="64"/>
        <v>23.80517503805175</v>
      </c>
    </row>
    <row r="126" spans="2:15" x14ac:dyDescent="0.25">
      <c r="B126" s="125" t="s">
        <v>77</v>
      </c>
      <c r="C126" s="131">
        <f>C118/C116</f>
        <v>2.5277777777777777</v>
      </c>
      <c r="D126" s="131">
        <f t="shared" ref="D126:O126" si="65">D118/D116</f>
        <v>2.5833333333333335</v>
      </c>
      <c r="E126" s="131">
        <f t="shared" si="65"/>
        <v>2.3611111111111112</v>
      </c>
      <c r="F126" s="131">
        <f t="shared" si="65"/>
        <v>2.3611111111111112</v>
      </c>
      <c r="G126" s="131">
        <f t="shared" si="65"/>
        <v>2.25</v>
      </c>
      <c r="H126" s="131">
        <f t="shared" si="65"/>
        <v>2.2777777777777777</v>
      </c>
      <c r="I126" s="131">
        <f t="shared" si="65"/>
        <v>2.1111111111111112</v>
      </c>
      <c r="J126" s="131">
        <f t="shared" si="65"/>
        <v>1.6944444444444444</v>
      </c>
      <c r="K126" s="131">
        <f t="shared" si="65"/>
        <v>1.4444444444444444</v>
      </c>
      <c r="L126" s="132">
        <f t="shared" si="65"/>
        <v>2.1944444444444446</v>
      </c>
      <c r="M126" s="132">
        <f t="shared" si="65"/>
        <v>3.0277777777777777</v>
      </c>
      <c r="N126" s="132">
        <f t="shared" si="65"/>
        <v>2.1388888888888888</v>
      </c>
      <c r="O126" s="131">
        <f t="shared" si="65"/>
        <v>2.2476851851851851</v>
      </c>
    </row>
    <row r="127" spans="2:15" x14ac:dyDescent="0.25">
      <c r="B127" s="125" t="s">
        <v>24</v>
      </c>
      <c r="C127" s="131">
        <f>(C119-C120)/C118</f>
        <v>8.6593406593406588</v>
      </c>
      <c r="D127" s="131">
        <f t="shared" ref="D127:O127" si="66">(D119-D120)/D118</f>
        <v>7.817204301075269</v>
      </c>
      <c r="E127" s="131">
        <f t="shared" si="66"/>
        <v>9.9647058823529413</v>
      </c>
      <c r="F127" s="131">
        <f t="shared" si="66"/>
        <v>9.6588235294117641</v>
      </c>
      <c r="G127" s="131">
        <f t="shared" si="66"/>
        <v>10.135802469135802</v>
      </c>
      <c r="H127" s="131">
        <f t="shared" si="66"/>
        <v>9.8658536585365848</v>
      </c>
      <c r="I127" s="131">
        <f t="shared" si="66"/>
        <v>11.657894736842104</v>
      </c>
      <c r="J127" s="131">
        <f t="shared" si="66"/>
        <v>15.508196721311476</v>
      </c>
      <c r="K127" s="131">
        <f t="shared" si="66"/>
        <v>17.653846153846153</v>
      </c>
      <c r="L127" s="132">
        <f t="shared" si="66"/>
        <v>10.683544303797468</v>
      </c>
      <c r="M127" s="132">
        <f t="shared" si="66"/>
        <v>7.0366972477064218</v>
      </c>
      <c r="N127" s="132">
        <f t="shared" si="66"/>
        <v>10.883116883116884</v>
      </c>
      <c r="O127" s="131">
        <f t="shared" si="66"/>
        <v>10.311019567456231</v>
      </c>
    </row>
    <row r="128" spans="2:15" x14ac:dyDescent="0.25">
      <c r="B128" s="156" t="s">
        <v>98</v>
      </c>
      <c r="C128" s="131">
        <f>C122/C119*100</f>
        <v>29.838709677419356</v>
      </c>
      <c r="D128" s="131">
        <f t="shared" ref="D128:O128" si="67">D122/D119*100</f>
        <v>30.158730158730158</v>
      </c>
      <c r="E128" s="131">
        <f t="shared" si="67"/>
        <v>30.64516129032258</v>
      </c>
      <c r="F128" s="131">
        <f t="shared" si="67"/>
        <v>36.111111111111107</v>
      </c>
      <c r="G128" s="131">
        <f t="shared" si="67"/>
        <v>29.659498207885303</v>
      </c>
      <c r="H128" s="131">
        <f t="shared" si="67"/>
        <v>31.203703703703706</v>
      </c>
      <c r="I128" s="131">
        <f t="shared" si="67"/>
        <v>24.014336917562723</v>
      </c>
      <c r="J128" s="131">
        <f t="shared" si="67"/>
        <v>21.774193548387096</v>
      </c>
      <c r="K128" s="131">
        <f t="shared" si="67"/>
        <v>21.574074074074073</v>
      </c>
      <c r="L128" s="132">
        <f t="shared" si="67"/>
        <v>30.824372759856633</v>
      </c>
      <c r="M128" s="132">
        <f t="shared" si="67"/>
        <v>37.037037037037038</v>
      </c>
      <c r="N128" s="132">
        <f t="shared" si="67"/>
        <v>27.419354838709676</v>
      </c>
      <c r="O128" s="131">
        <f t="shared" si="67"/>
        <v>29.155251141552512</v>
      </c>
    </row>
    <row r="129" spans="2:15" x14ac:dyDescent="0.25">
      <c r="B129" s="125" t="s">
        <v>26</v>
      </c>
      <c r="C129" s="126">
        <f>SUM(C130:C131)</f>
        <v>0</v>
      </c>
      <c r="D129" s="126">
        <f t="shared" ref="D129:N129" si="68">SUM(D130:D131)</f>
        <v>0</v>
      </c>
      <c r="E129" s="126">
        <f t="shared" si="68"/>
        <v>0</v>
      </c>
      <c r="F129" s="126">
        <f t="shared" si="68"/>
        <v>0</v>
      </c>
      <c r="G129" s="126">
        <f t="shared" si="68"/>
        <v>0</v>
      </c>
      <c r="H129" s="126">
        <f t="shared" si="68"/>
        <v>0</v>
      </c>
      <c r="I129" s="126">
        <f t="shared" si="68"/>
        <v>1</v>
      </c>
      <c r="J129" s="126">
        <f t="shared" si="68"/>
        <v>0</v>
      </c>
      <c r="K129" s="126">
        <f t="shared" si="68"/>
        <v>0</v>
      </c>
      <c r="L129" s="127">
        <f t="shared" si="68"/>
        <v>0</v>
      </c>
      <c r="M129" s="127">
        <f t="shared" si="68"/>
        <v>0</v>
      </c>
      <c r="N129" s="127">
        <f t="shared" si="68"/>
        <v>0</v>
      </c>
      <c r="O129" s="126">
        <f>SUM(C129:N129)</f>
        <v>1</v>
      </c>
    </row>
    <row r="130" spans="2:15" x14ac:dyDescent="0.25">
      <c r="B130" s="125" t="s">
        <v>79</v>
      </c>
      <c r="C130" s="126">
        <v>0</v>
      </c>
      <c r="D130" s="126">
        <v>0</v>
      </c>
      <c r="E130" s="126">
        <v>0</v>
      </c>
      <c r="F130" s="126">
        <v>0</v>
      </c>
      <c r="G130" s="126">
        <v>0</v>
      </c>
      <c r="H130" s="126">
        <v>0</v>
      </c>
      <c r="I130" s="126">
        <v>1</v>
      </c>
      <c r="J130" s="126">
        <v>0</v>
      </c>
      <c r="K130" s="126">
        <v>0</v>
      </c>
      <c r="L130" s="127">
        <v>0</v>
      </c>
      <c r="M130" s="127">
        <v>0</v>
      </c>
      <c r="N130" s="127">
        <v>0</v>
      </c>
      <c r="O130" s="126">
        <f>SUM(C130:N130)</f>
        <v>1</v>
      </c>
    </row>
    <row r="131" spans="2:15" x14ac:dyDescent="0.25">
      <c r="B131" s="125" t="s">
        <v>80</v>
      </c>
      <c r="C131" s="126">
        <v>0</v>
      </c>
      <c r="D131" s="126">
        <v>0</v>
      </c>
      <c r="E131" s="126">
        <v>0</v>
      </c>
      <c r="F131" s="126">
        <v>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127">
        <v>0</v>
      </c>
      <c r="M131" s="127">
        <v>0</v>
      </c>
      <c r="N131" s="127">
        <v>0</v>
      </c>
      <c r="O131" s="126">
        <f>SUM(C131:N131)</f>
        <v>0</v>
      </c>
    </row>
    <row r="132" spans="2:15" x14ac:dyDescent="0.25">
      <c r="B132" s="125" t="s">
        <v>31</v>
      </c>
      <c r="C132" s="126">
        <v>0</v>
      </c>
      <c r="D132" s="126">
        <v>0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0</v>
      </c>
      <c r="L132" s="127">
        <v>0</v>
      </c>
      <c r="M132" s="127">
        <v>0</v>
      </c>
      <c r="N132" s="127">
        <v>0</v>
      </c>
      <c r="O132" s="126">
        <f>SUM(C132:N132)</f>
        <v>0</v>
      </c>
    </row>
    <row r="133" spans="2:15" x14ac:dyDescent="0.25">
      <c r="B133" s="152"/>
      <c r="C133" s="153"/>
      <c r="D133" s="153"/>
      <c r="E133" s="153"/>
      <c r="F133" s="153"/>
      <c r="G133" s="153"/>
      <c r="H133" s="153"/>
      <c r="I133" s="153"/>
      <c r="J133" s="153"/>
      <c r="K133" s="153"/>
      <c r="L133" s="155"/>
      <c r="M133" s="155"/>
      <c r="N133" s="155"/>
      <c r="O133" s="153"/>
    </row>
    <row r="134" spans="2:15" x14ac:dyDescent="0.25">
      <c r="B134" s="141"/>
      <c r="C134" s="139"/>
      <c r="D134" s="139"/>
      <c r="E134" s="139"/>
      <c r="F134" s="139"/>
      <c r="G134" s="139"/>
      <c r="H134" s="139"/>
      <c r="I134" s="139"/>
      <c r="J134" s="139"/>
      <c r="K134" s="139"/>
      <c r="L134" s="140"/>
      <c r="M134" s="140"/>
      <c r="N134" s="140"/>
      <c r="O134" s="139"/>
    </row>
    <row r="135" spans="2:15" ht="15.75" x14ac:dyDescent="0.25">
      <c r="B135" s="1"/>
      <c r="C135" s="139"/>
      <c r="D135" s="190" t="s">
        <v>96</v>
      </c>
      <c r="E135" s="190"/>
      <c r="F135" s="190"/>
      <c r="G135" s="190"/>
      <c r="H135" s="190"/>
      <c r="I135" s="190"/>
      <c r="J135" s="190"/>
      <c r="K135" s="190"/>
      <c r="L135" s="190"/>
      <c r="M135" s="163" t="s">
        <v>57</v>
      </c>
      <c r="N135" s="140"/>
      <c r="O135" s="139"/>
    </row>
    <row r="136" spans="2:15" x14ac:dyDescent="0.25">
      <c r="B136" s="1" t="s">
        <v>57</v>
      </c>
      <c r="C136" s="139"/>
      <c r="D136" s="139"/>
      <c r="E136" s="139"/>
      <c r="F136" s="139"/>
      <c r="G136" s="139"/>
      <c r="H136" s="139"/>
      <c r="I136" s="139"/>
      <c r="J136" s="139"/>
      <c r="K136" s="139"/>
      <c r="L136" s="140"/>
      <c r="M136" s="140"/>
      <c r="N136" s="140"/>
      <c r="O136" s="139"/>
    </row>
    <row r="137" spans="2:15" x14ac:dyDescent="0.25">
      <c r="B137" s="1"/>
      <c r="C137" s="123" t="s">
        <v>1</v>
      </c>
      <c r="D137" s="123" t="s">
        <v>2</v>
      </c>
      <c r="E137" s="123" t="s">
        <v>3</v>
      </c>
      <c r="F137" s="123" t="s">
        <v>4</v>
      </c>
      <c r="G137" s="123" t="s">
        <v>5</v>
      </c>
      <c r="H137" s="123" t="s">
        <v>6</v>
      </c>
      <c r="I137" s="123" t="s">
        <v>7</v>
      </c>
      <c r="J137" s="123" t="s">
        <v>8</v>
      </c>
      <c r="K137" s="123" t="s">
        <v>9</v>
      </c>
      <c r="L137" s="124" t="s">
        <v>10</v>
      </c>
      <c r="M137" s="124" t="s">
        <v>11</v>
      </c>
      <c r="N137" s="124" t="s">
        <v>12</v>
      </c>
      <c r="O137" s="123" t="s">
        <v>13</v>
      </c>
    </row>
    <row r="138" spans="2:15" x14ac:dyDescent="0.25">
      <c r="B138" s="125" t="s">
        <v>14</v>
      </c>
      <c r="C138" s="126">
        <v>8</v>
      </c>
      <c r="D138" s="126">
        <v>8</v>
      </c>
      <c r="E138" s="126">
        <v>8</v>
      </c>
      <c r="F138" s="126">
        <v>8</v>
      </c>
      <c r="G138" s="126">
        <v>8</v>
      </c>
      <c r="H138" s="126">
        <v>8</v>
      </c>
      <c r="I138" s="126">
        <v>8</v>
      </c>
      <c r="J138" s="126">
        <v>8</v>
      </c>
      <c r="K138" s="126">
        <v>8</v>
      </c>
      <c r="L138" s="127">
        <v>8</v>
      </c>
      <c r="M138" s="127">
        <v>8</v>
      </c>
      <c r="N138" s="127">
        <v>8</v>
      </c>
      <c r="O138" s="126">
        <f>SUM(C138:N138)</f>
        <v>96</v>
      </c>
    </row>
    <row r="139" spans="2:15" x14ac:dyDescent="0.25">
      <c r="B139" s="125" t="s">
        <v>15</v>
      </c>
      <c r="C139" s="126">
        <v>18</v>
      </c>
      <c r="D139" s="126">
        <v>17</v>
      </c>
      <c r="E139" s="126">
        <v>19</v>
      </c>
      <c r="F139" s="126">
        <v>23</v>
      </c>
      <c r="G139" s="126">
        <v>18</v>
      </c>
      <c r="H139" s="126">
        <v>8</v>
      </c>
      <c r="I139" s="126">
        <v>9</v>
      </c>
      <c r="J139" s="126">
        <v>4</v>
      </c>
      <c r="K139" s="126">
        <v>9</v>
      </c>
      <c r="L139" s="127">
        <v>10</v>
      </c>
      <c r="M139" s="127">
        <v>26</v>
      </c>
      <c r="N139" s="127">
        <v>17</v>
      </c>
      <c r="O139" s="126">
        <f t="shared" ref="O139:O154" si="69">SUM(C139:N139)</f>
        <v>178</v>
      </c>
    </row>
    <row r="140" spans="2:15" x14ac:dyDescent="0.25">
      <c r="B140" s="125" t="s">
        <v>16</v>
      </c>
      <c r="C140" s="126">
        <v>19</v>
      </c>
      <c r="D140" s="126">
        <v>17</v>
      </c>
      <c r="E140" s="126">
        <v>22</v>
      </c>
      <c r="F140" s="126">
        <v>23</v>
      </c>
      <c r="G140" s="126">
        <v>20</v>
      </c>
      <c r="H140" s="126">
        <v>9</v>
      </c>
      <c r="I140" s="126">
        <v>8</v>
      </c>
      <c r="J140" s="126">
        <v>5</v>
      </c>
      <c r="K140" s="126">
        <v>11</v>
      </c>
      <c r="L140" s="127">
        <v>10</v>
      </c>
      <c r="M140" s="127">
        <v>25</v>
      </c>
      <c r="N140" s="127">
        <v>21</v>
      </c>
      <c r="O140" s="126">
        <f t="shared" si="69"/>
        <v>190</v>
      </c>
    </row>
    <row r="141" spans="2:15" x14ac:dyDescent="0.25">
      <c r="B141" s="125" t="s">
        <v>17</v>
      </c>
      <c r="C141" s="126">
        <f>31*8</f>
        <v>248</v>
      </c>
      <c r="D141" s="126">
        <f>8*28</f>
        <v>224</v>
      </c>
      <c r="E141" s="126">
        <f>31*8</f>
        <v>248</v>
      </c>
      <c r="F141" s="126">
        <f>8*30</f>
        <v>240</v>
      </c>
      <c r="G141" s="126">
        <f>31*8</f>
        <v>248</v>
      </c>
      <c r="H141" s="126">
        <f>30*8</f>
        <v>240</v>
      </c>
      <c r="I141" s="126">
        <f>8*31</f>
        <v>248</v>
      </c>
      <c r="J141" s="126">
        <f>8*31</f>
        <v>248</v>
      </c>
      <c r="K141" s="126">
        <f>8*30</f>
        <v>240</v>
      </c>
      <c r="L141" s="127">
        <f>8*31</f>
        <v>248</v>
      </c>
      <c r="M141" s="127">
        <f>8*30</f>
        <v>240</v>
      </c>
      <c r="N141" s="127">
        <f>8*31</f>
        <v>248</v>
      </c>
      <c r="O141" s="126">
        <f t="shared" si="69"/>
        <v>2920</v>
      </c>
    </row>
    <row r="142" spans="2:15" x14ac:dyDescent="0.25">
      <c r="B142" s="125" t="s">
        <v>18</v>
      </c>
      <c r="C142" s="126">
        <v>64</v>
      </c>
      <c r="D142" s="126">
        <v>77</v>
      </c>
      <c r="E142" s="126">
        <v>73</v>
      </c>
      <c r="F142" s="126">
        <v>77</v>
      </c>
      <c r="G142" s="126">
        <v>66</v>
      </c>
      <c r="H142" s="126">
        <v>25</v>
      </c>
      <c r="I142" s="126">
        <v>26</v>
      </c>
      <c r="J142" s="126">
        <v>15</v>
      </c>
      <c r="K142" s="126">
        <v>45</v>
      </c>
      <c r="L142" s="127">
        <v>31</v>
      </c>
      <c r="M142" s="127">
        <v>79</v>
      </c>
      <c r="N142" s="127">
        <v>91</v>
      </c>
      <c r="O142" s="126">
        <f t="shared" si="69"/>
        <v>669</v>
      </c>
    </row>
    <row r="143" spans="2:15" x14ac:dyDescent="0.25">
      <c r="B143" s="125" t="s">
        <v>19</v>
      </c>
      <c r="C143" s="126">
        <v>64</v>
      </c>
      <c r="D143" s="126">
        <v>77</v>
      </c>
      <c r="E143" s="126">
        <v>75</v>
      </c>
      <c r="F143" s="126">
        <v>78</v>
      </c>
      <c r="G143" s="126">
        <v>74</v>
      </c>
      <c r="H143" s="126">
        <v>39</v>
      </c>
      <c r="I143" s="126">
        <v>26</v>
      </c>
      <c r="J143" s="126">
        <v>15</v>
      </c>
      <c r="K143" s="126">
        <v>45</v>
      </c>
      <c r="L143" s="127">
        <v>31</v>
      </c>
      <c r="M143" s="127">
        <v>84</v>
      </c>
      <c r="N143" s="127">
        <v>100</v>
      </c>
      <c r="O143" s="126">
        <f t="shared" si="69"/>
        <v>708</v>
      </c>
    </row>
    <row r="144" spans="2:15" x14ac:dyDescent="0.25">
      <c r="B144" s="125" t="s">
        <v>99</v>
      </c>
      <c r="C144" s="126">
        <v>58</v>
      </c>
      <c r="D144" s="126">
        <v>87</v>
      </c>
      <c r="E144" s="126">
        <v>60</v>
      </c>
      <c r="F144" s="126">
        <v>65</v>
      </c>
      <c r="G144" s="126">
        <v>62</v>
      </c>
      <c r="H144" s="126">
        <v>11</v>
      </c>
      <c r="I144" s="126">
        <v>25</v>
      </c>
      <c r="J144" s="126">
        <v>14</v>
      </c>
      <c r="K144" s="126">
        <v>40</v>
      </c>
      <c r="L144" s="127">
        <v>37</v>
      </c>
      <c r="M144" s="127">
        <v>86</v>
      </c>
      <c r="N144" s="127">
        <v>59</v>
      </c>
      <c r="O144" s="126">
        <f t="shared" si="69"/>
        <v>604</v>
      </c>
    </row>
    <row r="145" spans="2:15" x14ac:dyDescent="0.25">
      <c r="B145" s="125" t="s">
        <v>74</v>
      </c>
      <c r="C145" s="131">
        <f>C142/C140</f>
        <v>3.3684210526315788</v>
      </c>
      <c r="D145" s="131">
        <f t="shared" ref="D145:N145" si="70">D142/D140</f>
        <v>4.5294117647058822</v>
      </c>
      <c r="E145" s="131">
        <f t="shared" si="70"/>
        <v>3.3181818181818183</v>
      </c>
      <c r="F145" s="131">
        <f t="shared" si="70"/>
        <v>3.347826086956522</v>
      </c>
      <c r="G145" s="131">
        <f t="shared" si="70"/>
        <v>3.3</v>
      </c>
      <c r="H145" s="131">
        <f t="shared" si="70"/>
        <v>2.7777777777777777</v>
      </c>
      <c r="I145" s="131">
        <f t="shared" si="70"/>
        <v>3.25</v>
      </c>
      <c r="J145" s="131">
        <f t="shared" si="70"/>
        <v>3</v>
      </c>
      <c r="K145" s="131">
        <f t="shared" si="70"/>
        <v>4.0909090909090908</v>
      </c>
      <c r="L145" s="132">
        <f t="shared" si="70"/>
        <v>3.1</v>
      </c>
      <c r="M145" s="132">
        <f t="shared" si="70"/>
        <v>3.16</v>
      </c>
      <c r="N145" s="132">
        <f t="shared" si="70"/>
        <v>4.333333333333333</v>
      </c>
      <c r="O145" s="131">
        <f>O142/O140</f>
        <v>3.5210526315789474</v>
      </c>
    </row>
    <row r="146" spans="2:15" x14ac:dyDescent="0.25">
      <c r="B146" s="128" t="s">
        <v>75</v>
      </c>
      <c r="C146" s="131">
        <f>C143/C140</f>
        <v>3.3684210526315788</v>
      </c>
      <c r="D146" s="131">
        <f t="shared" ref="D146:N146" si="71">D143/D140</f>
        <v>4.5294117647058822</v>
      </c>
      <c r="E146" s="131">
        <f t="shared" si="71"/>
        <v>3.4090909090909092</v>
      </c>
      <c r="F146" s="131">
        <f t="shared" si="71"/>
        <v>3.3913043478260869</v>
      </c>
      <c r="G146" s="131">
        <f t="shared" si="71"/>
        <v>3.7</v>
      </c>
      <c r="H146" s="131">
        <f t="shared" si="71"/>
        <v>4.333333333333333</v>
      </c>
      <c r="I146" s="131">
        <f t="shared" si="71"/>
        <v>3.25</v>
      </c>
      <c r="J146" s="131">
        <f t="shared" si="71"/>
        <v>3</v>
      </c>
      <c r="K146" s="131">
        <f t="shared" si="71"/>
        <v>4.0909090909090908</v>
      </c>
      <c r="L146" s="132">
        <f t="shared" si="71"/>
        <v>3.1</v>
      </c>
      <c r="M146" s="132">
        <f t="shared" si="71"/>
        <v>3.36</v>
      </c>
      <c r="N146" s="132">
        <f t="shared" si="71"/>
        <v>4.7619047619047619</v>
      </c>
      <c r="O146" s="131">
        <f>O143/O140</f>
        <v>3.7263157894736842</v>
      </c>
    </row>
    <row r="147" spans="2:15" x14ac:dyDescent="0.25">
      <c r="B147" s="125" t="s">
        <v>76</v>
      </c>
      <c r="C147" s="131">
        <f>C142/C141*100</f>
        <v>25.806451612903224</v>
      </c>
      <c r="D147" s="131">
        <f t="shared" ref="D147:O147" si="72">D142/D141*100</f>
        <v>34.375</v>
      </c>
      <c r="E147" s="131">
        <f t="shared" si="72"/>
        <v>29.435483870967744</v>
      </c>
      <c r="F147" s="131">
        <f t="shared" si="72"/>
        <v>32.083333333333336</v>
      </c>
      <c r="G147" s="131">
        <f t="shared" si="72"/>
        <v>26.612903225806448</v>
      </c>
      <c r="H147" s="131">
        <f t="shared" si="72"/>
        <v>10.416666666666668</v>
      </c>
      <c r="I147" s="131">
        <f t="shared" si="72"/>
        <v>10.483870967741936</v>
      </c>
      <c r="J147" s="131">
        <f t="shared" si="72"/>
        <v>6.0483870967741939</v>
      </c>
      <c r="K147" s="131">
        <f t="shared" si="72"/>
        <v>18.75</v>
      </c>
      <c r="L147" s="132">
        <f t="shared" si="72"/>
        <v>12.5</v>
      </c>
      <c r="M147" s="132">
        <f t="shared" si="72"/>
        <v>32.916666666666664</v>
      </c>
      <c r="N147" s="132">
        <f t="shared" si="72"/>
        <v>36.693548387096776</v>
      </c>
      <c r="O147" s="131">
        <f t="shared" si="72"/>
        <v>22.910958904109588</v>
      </c>
    </row>
    <row r="148" spans="2:15" x14ac:dyDescent="0.25">
      <c r="B148" s="125" t="s">
        <v>77</v>
      </c>
      <c r="C148" s="131">
        <f>SUM(C140/C138)</f>
        <v>2.375</v>
      </c>
      <c r="D148" s="131">
        <f t="shared" ref="D148:O148" si="73">SUM(D140/D138)</f>
        <v>2.125</v>
      </c>
      <c r="E148" s="131">
        <f t="shared" si="73"/>
        <v>2.75</v>
      </c>
      <c r="F148" s="131">
        <f t="shared" si="73"/>
        <v>2.875</v>
      </c>
      <c r="G148" s="131">
        <f t="shared" si="73"/>
        <v>2.5</v>
      </c>
      <c r="H148" s="131">
        <f t="shared" si="73"/>
        <v>1.125</v>
      </c>
      <c r="I148" s="131">
        <f t="shared" si="73"/>
        <v>1</v>
      </c>
      <c r="J148" s="131">
        <f t="shared" si="73"/>
        <v>0.625</v>
      </c>
      <c r="K148" s="131">
        <f t="shared" si="73"/>
        <v>1.375</v>
      </c>
      <c r="L148" s="132">
        <f t="shared" si="73"/>
        <v>1.25</v>
      </c>
      <c r="M148" s="132">
        <f t="shared" si="73"/>
        <v>3.125</v>
      </c>
      <c r="N148" s="132">
        <f t="shared" si="73"/>
        <v>2.625</v>
      </c>
      <c r="O148" s="131">
        <f t="shared" si="73"/>
        <v>1.9791666666666667</v>
      </c>
    </row>
    <row r="149" spans="2:15" x14ac:dyDescent="0.25">
      <c r="B149" s="125" t="s">
        <v>24</v>
      </c>
      <c r="C149" s="131">
        <f t="shared" ref="C149:O149" si="74">(C141-C142)/C140</f>
        <v>9.6842105263157894</v>
      </c>
      <c r="D149" s="131">
        <f t="shared" si="74"/>
        <v>8.6470588235294112</v>
      </c>
      <c r="E149" s="131">
        <f t="shared" si="74"/>
        <v>7.9545454545454541</v>
      </c>
      <c r="F149" s="131">
        <f t="shared" si="74"/>
        <v>7.0869565217391308</v>
      </c>
      <c r="G149" s="131">
        <f t="shared" si="74"/>
        <v>9.1</v>
      </c>
      <c r="H149" s="131">
        <f t="shared" si="74"/>
        <v>23.888888888888889</v>
      </c>
      <c r="I149" s="131">
        <f t="shared" si="74"/>
        <v>27.75</v>
      </c>
      <c r="J149" s="131">
        <f t="shared" si="74"/>
        <v>46.6</v>
      </c>
      <c r="K149" s="131">
        <f t="shared" si="74"/>
        <v>17.727272727272727</v>
      </c>
      <c r="L149" s="132">
        <f t="shared" si="74"/>
        <v>21.7</v>
      </c>
      <c r="M149" s="132">
        <f t="shared" si="74"/>
        <v>6.44</v>
      </c>
      <c r="N149" s="132">
        <f t="shared" si="74"/>
        <v>7.4761904761904763</v>
      </c>
      <c r="O149" s="131">
        <f t="shared" si="74"/>
        <v>11.847368421052632</v>
      </c>
    </row>
    <row r="150" spans="2:15" x14ac:dyDescent="0.25">
      <c r="B150" s="125" t="s">
        <v>94</v>
      </c>
      <c r="C150" s="131">
        <f>C144/C141*100</f>
        <v>23.387096774193548</v>
      </c>
      <c r="D150" s="131">
        <f t="shared" ref="D150:O150" si="75">D144/D141*100</f>
        <v>38.839285714285715</v>
      </c>
      <c r="E150" s="131">
        <f t="shared" si="75"/>
        <v>24.193548387096776</v>
      </c>
      <c r="F150" s="131">
        <f t="shared" si="75"/>
        <v>27.083333333333332</v>
      </c>
      <c r="G150" s="131">
        <f t="shared" si="75"/>
        <v>25</v>
      </c>
      <c r="H150" s="131">
        <f t="shared" si="75"/>
        <v>4.583333333333333</v>
      </c>
      <c r="I150" s="131">
        <f t="shared" si="75"/>
        <v>10.080645161290322</v>
      </c>
      <c r="J150" s="131">
        <f t="shared" si="75"/>
        <v>5.6451612903225801</v>
      </c>
      <c r="K150" s="131">
        <f t="shared" si="75"/>
        <v>16.666666666666664</v>
      </c>
      <c r="L150" s="132">
        <f t="shared" si="75"/>
        <v>14.919354838709678</v>
      </c>
      <c r="M150" s="132">
        <f t="shared" si="75"/>
        <v>35.833333333333336</v>
      </c>
      <c r="N150" s="164">
        <f t="shared" si="75"/>
        <v>23.790322580645164</v>
      </c>
      <c r="O150" s="165">
        <f t="shared" si="75"/>
        <v>20.684931506849317</v>
      </c>
    </row>
    <row r="151" spans="2:15" x14ac:dyDescent="0.25">
      <c r="B151" s="125" t="s">
        <v>26</v>
      </c>
      <c r="C151" s="126">
        <f>SUM(C152:C153)</f>
        <v>0</v>
      </c>
      <c r="D151" s="126">
        <f t="shared" ref="D151:N151" si="76">SUM(D152:D153)</f>
        <v>0</v>
      </c>
      <c r="E151" s="126">
        <f t="shared" si="76"/>
        <v>0</v>
      </c>
      <c r="F151" s="126">
        <f t="shared" si="76"/>
        <v>0</v>
      </c>
      <c r="G151" s="126">
        <f t="shared" si="76"/>
        <v>0</v>
      </c>
      <c r="H151" s="126">
        <f t="shared" si="76"/>
        <v>0</v>
      </c>
      <c r="I151" s="126">
        <f t="shared" si="76"/>
        <v>0</v>
      </c>
      <c r="J151" s="126">
        <f t="shared" si="76"/>
        <v>0</v>
      </c>
      <c r="K151" s="126">
        <f t="shared" si="76"/>
        <v>0</v>
      </c>
      <c r="L151" s="127">
        <f t="shared" si="76"/>
        <v>0</v>
      </c>
      <c r="M151" s="127">
        <f t="shared" si="76"/>
        <v>0</v>
      </c>
      <c r="N151" s="127">
        <f t="shared" si="76"/>
        <v>0</v>
      </c>
      <c r="O151" s="126">
        <f t="shared" si="69"/>
        <v>0</v>
      </c>
    </row>
    <row r="152" spans="2:15" x14ac:dyDescent="0.25">
      <c r="B152" s="125" t="s">
        <v>79</v>
      </c>
      <c r="C152" s="126">
        <v>0</v>
      </c>
      <c r="D152" s="126">
        <v>0</v>
      </c>
      <c r="E152" s="126">
        <v>0</v>
      </c>
      <c r="F152" s="126">
        <v>0</v>
      </c>
      <c r="G152" s="126">
        <v>0</v>
      </c>
      <c r="H152" s="126">
        <v>0</v>
      </c>
      <c r="I152" s="126">
        <v>0</v>
      </c>
      <c r="J152" s="126">
        <v>0</v>
      </c>
      <c r="K152" s="126">
        <v>0</v>
      </c>
      <c r="L152" s="127">
        <v>0</v>
      </c>
      <c r="M152" s="127">
        <v>0</v>
      </c>
      <c r="N152" s="127">
        <v>0</v>
      </c>
      <c r="O152" s="126">
        <f t="shared" si="69"/>
        <v>0</v>
      </c>
    </row>
    <row r="153" spans="2:15" x14ac:dyDescent="0.25">
      <c r="B153" s="125" t="s">
        <v>80</v>
      </c>
      <c r="C153" s="126">
        <v>0</v>
      </c>
      <c r="D153" s="126">
        <v>0</v>
      </c>
      <c r="E153" s="126">
        <v>0</v>
      </c>
      <c r="F153" s="126">
        <v>0</v>
      </c>
      <c r="G153" s="126">
        <v>0</v>
      </c>
      <c r="H153" s="126">
        <v>0</v>
      </c>
      <c r="I153" s="126">
        <v>0</v>
      </c>
      <c r="J153" s="126">
        <v>0</v>
      </c>
      <c r="K153" s="126">
        <v>0</v>
      </c>
      <c r="L153" s="127">
        <v>0</v>
      </c>
      <c r="M153" s="127">
        <v>0</v>
      </c>
      <c r="N153" s="127">
        <v>0</v>
      </c>
      <c r="O153" s="126">
        <f t="shared" si="69"/>
        <v>0</v>
      </c>
    </row>
    <row r="154" spans="2:15" x14ac:dyDescent="0.25">
      <c r="B154" s="125" t="s">
        <v>31</v>
      </c>
      <c r="C154" s="126"/>
      <c r="D154" s="126">
        <v>0</v>
      </c>
      <c r="E154" s="126">
        <v>0</v>
      </c>
      <c r="F154" s="126">
        <v>0</v>
      </c>
      <c r="G154" s="126">
        <v>0</v>
      </c>
      <c r="H154" s="126">
        <v>0</v>
      </c>
      <c r="I154" s="126">
        <v>1</v>
      </c>
      <c r="J154" s="126">
        <v>3</v>
      </c>
      <c r="K154" s="126">
        <v>0</v>
      </c>
      <c r="L154" s="127">
        <v>1</v>
      </c>
      <c r="M154" s="127">
        <v>4</v>
      </c>
      <c r="N154" s="127">
        <v>0</v>
      </c>
      <c r="O154" s="126">
        <f t="shared" si="69"/>
        <v>9</v>
      </c>
    </row>
    <row r="155" spans="2:15" x14ac:dyDescent="0.25">
      <c r="B155" s="1"/>
      <c r="C155" s="139"/>
      <c r="D155" s="139"/>
      <c r="E155" s="139"/>
      <c r="F155" s="139"/>
      <c r="G155" s="139"/>
      <c r="H155" s="139"/>
      <c r="I155" s="139"/>
      <c r="J155" s="139"/>
      <c r="K155" s="139"/>
      <c r="L155" s="140"/>
      <c r="M155" s="140"/>
      <c r="N155" s="140"/>
      <c r="O155" s="139"/>
    </row>
    <row r="156" spans="2:15" ht="15.75" x14ac:dyDescent="0.25">
      <c r="B156" s="1"/>
      <c r="C156" s="167"/>
      <c r="D156" s="167"/>
      <c r="E156" s="167"/>
      <c r="F156" s="167"/>
      <c r="G156" s="167"/>
      <c r="H156" s="167"/>
      <c r="I156" s="167"/>
      <c r="J156" s="167"/>
      <c r="K156" s="139"/>
      <c r="L156" s="140"/>
      <c r="M156" s="140"/>
      <c r="N156" s="140"/>
      <c r="O156" s="139"/>
    </row>
    <row r="157" spans="2:15" ht="15.75" x14ac:dyDescent="0.25">
      <c r="B157" s="1"/>
      <c r="C157" s="190" t="s">
        <v>96</v>
      </c>
      <c r="D157" s="190"/>
      <c r="E157" s="190"/>
      <c r="F157" s="190"/>
      <c r="G157" s="190"/>
      <c r="H157" s="190"/>
      <c r="I157" s="190"/>
      <c r="J157" s="190"/>
      <c r="K157" s="139"/>
      <c r="L157" s="140"/>
      <c r="M157" s="140"/>
      <c r="N157" s="140"/>
      <c r="O157" s="139"/>
    </row>
    <row r="158" spans="2:15" x14ac:dyDescent="0.25">
      <c r="B158" s="1" t="s">
        <v>58</v>
      </c>
      <c r="C158" s="139"/>
      <c r="D158" s="139"/>
      <c r="E158" s="139"/>
      <c r="F158" s="139"/>
      <c r="G158" s="139"/>
      <c r="H158" s="139"/>
      <c r="I158" s="139"/>
      <c r="J158" s="139"/>
      <c r="K158" s="139"/>
      <c r="L158" s="140"/>
      <c r="M158" s="163" t="s">
        <v>58</v>
      </c>
      <c r="N158" s="140"/>
      <c r="O158" s="139"/>
    </row>
    <row r="159" spans="2:15" x14ac:dyDescent="0.25">
      <c r="B159" s="1"/>
      <c r="C159" s="123" t="s">
        <v>1</v>
      </c>
      <c r="D159" s="168" t="s">
        <v>2</v>
      </c>
      <c r="E159" s="123" t="s">
        <v>3</v>
      </c>
      <c r="F159" s="123" t="s">
        <v>4</v>
      </c>
      <c r="G159" s="123" t="s">
        <v>5</v>
      </c>
      <c r="H159" s="123" t="s">
        <v>6</v>
      </c>
      <c r="I159" s="123" t="s">
        <v>7</v>
      </c>
      <c r="J159" s="123" t="s">
        <v>8</v>
      </c>
      <c r="K159" s="169" t="s">
        <v>9</v>
      </c>
      <c r="L159" s="170" t="s">
        <v>10</v>
      </c>
      <c r="M159" s="170" t="s">
        <v>11</v>
      </c>
      <c r="N159" s="170" t="s">
        <v>12</v>
      </c>
      <c r="O159" s="123" t="s">
        <v>13</v>
      </c>
    </row>
    <row r="160" spans="2:15" x14ac:dyDescent="0.25">
      <c r="B160" s="125" t="s">
        <v>14</v>
      </c>
      <c r="C160" s="126">
        <v>31</v>
      </c>
      <c r="D160" s="126">
        <v>31</v>
      </c>
      <c r="E160" s="126">
        <v>31</v>
      </c>
      <c r="F160" s="126">
        <v>31</v>
      </c>
      <c r="G160" s="126">
        <v>31</v>
      </c>
      <c r="H160" s="126">
        <v>31</v>
      </c>
      <c r="I160" s="126">
        <v>31</v>
      </c>
      <c r="J160" s="126">
        <v>31</v>
      </c>
      <c r="K160" s="126">
        <v>31</v>
      </c>
      <c r="L160" s="127">
        <v>31</v>
      </c>
      <c r="M160" s="127">
        <v>31</v>
      </c>
      <c r="N160" s="127">
        <v>31</v>
      </c>
      <c r="O160" s="126">
        <f>SUM(C160:N160)</f>
        <v>372</v>
      </c>
    </row>
    <row r="161" spans="2:15" x14ac:dyDescent="0.25">
      <c r="B161" s="125" t="s">
        <v>15</v>
      </c>
      <c r="C161" s="126">
        <v>385</v>
      </c>
      <c r="D161" s="126">
        <v>339</v>
      </c>
      <c r="E161" s="126">
        <v>380</v>
      </c>
      <c r="F161" s="126">
        <v>330</v>
      </c>
      <c r="G161" s="126">
        <v>383</v>
      </c>
      <c r="H161" s="126">
        <v>328</v>
      </c>
      <c r="I161" s="126">
        <v>398</v>
      </c>
      <c r="J161" s="126">
        <v>399</v>
      </c>
      <c r="K161" s="126">
        <v>334</v>
      </c>
      <c r="L161" s="127">
        <v>339</v>
      </c>
      <c r="M161" s="127">
        <v>311</v>
      </c>
      <c r="N161" s="127">
        <v>347</v>
      </c>
      <c r="O161" s="126">
        <f t="shared" ref="O161:O194" si="77">SUM(C161:N161)</f>
        <v>4273</v>
      </c>
    </row>
    <row r="162" spans="2:15" x14ac:dyDescent="0.25">
      <c r="B162" s="125" t="s">
        <v>16</v>
      </c>
      <c r="C162" s="126">
        <v>377</v>
      </c>
      <c r="D162" s="126">
        <v>341</v>
      </c>
      <c r="E162" s="126">
        <v>383</v>
      </c>
      <c r="F162" s="126">
        <v>306</v>
      </c>
      <c r="G162" s="126">
        <v>390</v>
      </c>
      <c r="H162" s="126">
        <v>327</v>
      </c>
      <c r="I162" s="126">
        <v>377</v>
      </c>
      <c r="J162" s="126">
        <v>406</v>
      </c>
      <c r="K162" s="126">
        <v>337</v>
      </c>
      <c r="L162" s="127">
        <v>336</v>
      </c>
      <c r="M162" s="127">
        <v>309</v>
      </c>
      <c r="N162" s="127">
        <v>339</v>
      </c>
      <c r="O162" s="126">
        <f t="shared" si="77"/>
        <v>4228</v>
      </c>
    </row>
    <row r="163" spans="2:15" x14ac:dyDescent="0.25">
      <c r="B163" s="125" t="s">
        <v>17</v>
      </c>
      <c r="C163" s="126">
        <f>31*31</f>
        <v>961</v>
      </c>
      <c r="D163" s="126">
        <v>868</v>
      </c>
      <c r="E163" s="126">
        <f>31*31</f>
        <v>961</v>
      </c>
      <c r="F163" s="126">
        <f>31*30</f>
        <v>930</v>
      </c>
      <c r="G163" s="126">
        <f>31*31</f>
        <v>961</v>
      </c>
      <c r="H163" s="126">
        <f>30*31</f>
        <v>930</v>
      </c>
      <c r="I163" s="126">
        <f>31*31</f>
        <v>961</v>
      </c>
      <c r="J163" s="126">
        <f>31*31</f>
        <v>961</v>
      </c>
      <c r="K163" s="126">
        <f>30*31</f>
        <v>930</v>
      </c>
      <c r="L163" s="127">
        <f>31*31</f>
        <v>961</v>
      </c>
      <c r="M163" s="127">
        <f>30*31</f>
        <v>930</v>
      </c>
      <c r="N163" s="127">
        <f>31*31</f>
        <v>961</v>
      </c>
      <c r="O163" s="126">
        <f t="shared" si="77"/>
        <v>11315</v>
      </c>
    </row>
    <row r="164" spans="2:15" x14ac:dyDescent="0.25">
      <c r="B164" s="125" t="s">
        <v>18</v>
      </c>
      <c r="C164" s="126">
        <v>697</v>
      </c>
      <c r="D164" s="126">
        <v>620</v>
      </c>
      <c r="E164" s="126">
        <v>733</v>
      </c>
      <c r="F164" s="126">
        <v>601</v>
      </c>
      <c r="G164" s="126">
        <v>741</v>
      </c>
      <c r="H164" s="126">
        <v>676</v>
      </c>
      <c r="I164" s="126">
        <v>731</v>
      </c>
      <c r="J164" s="126">
        <v>778</v>
      </c>
      <c r="K164" s="126">
        <v>676</v>
      </c>
      <c r="L164" s="127">
        <v>649</v>
      </c>
      <c r="M164" s="127">
        <v>580</v>
      </c>
      <c r="N164" s="127">
        <v>700</v>
      </c>
      <c r="O164" s="126">
        <f t="shared" si="77"/>
        <v>8182</v>
      </c>
    </row>
    <row r="165" spans="2:15" x14ac:dyDescent="0.25">
      <c r="B165" s="125" t="s">
        <v>19</v>
      </c>
      <c r="C165" s="126">
        <v>706</v>
      </c>
      <c r="D165" s="126">
        <v>646</v>
      </c>
      <c r="E165" s="126">
        <v>854</v>
      </c>
      <c r="F165" s="126">
        <v>618</v>
      </c>
      <c r="G165" s="126">
        <v>769</v>
      </c>
      <c r="H165" s="126">
        <v>745</v>
      </c>
      <c r="I165" s="126">
        <v>817</v>
      </c>
      <c r="J165" s="126">
        <v>965</v>
      </c>
      <c r="K165" s="126">
        <v>724</v>
      </c>
      <c r="L165" s="127">
        <v>819</v>
      </c>
      <c r="M165" s="127">
        <v>598</v>
      </c>
      <c r="N165" s="127">
        <v>753</v>
      </c>
      <c r="O165" s="126">
        <f t="shared" si="77"/>
        <v>9014</v>
      </c>
    </row>
    <row r="166" spans="2:15" x14ac:dyDescent="0.25">
      <c r="B166" s="125" t="s">
        <v>100</v>
      </c>
      <c r="C166" s="126"/>
      <c r="D166" s="126"/>
      <c r="E166" s="126"/>
      <c r="F166" s="126"/>
      <c r="G166" s="126"/>
      <c r="H166" s="126"/>
      <c r="I166" s="126"/>
      <c r="J166" s="126"/>
      <c r="K166" s="126"/>
      <c r="L166" s="127"/>
      <c r="M166" s="127"/>
      <c r="N166" s="127"/>
      <c r="O166" s="126"/>
    </row>
    <row r="167" spans="2:15" x14ac:dyDescent="0.25">
      <c r="B167" s="125" t="s">
        <v>74</v>
      </c>
      <c r="C167" s="131"/>
      <c r="D167" s="131"/>
      <c r="E167" s="131"/>
      <c r="F167" s="131"/>
      <c r="G167" s="131"/>
      <c r="H167" s="131"/>
      <c r="I167" s="131"/>
      <c r="J167" s="131"/>
      <c r="K167" s="131"/>
      <c r="L167" s="132"/>
      <c r="M167" s="132"/>
      <c r="N167" s="132"/>
      <c r="O167" s="131">
        <f t="shared" ref="O167" si="78">O164/O162</f>
        <v>1.93519394512772</v>
      </c>
    </row>
    <row r="168" spans="2:15" x14ac:dyDescent="0.25">
      <c r="B168" s="135" t="s">
        <v>59</v>
      </c>
      <c r="C168" s="129">
        <v>746</v>
      </c>
      <c r="D168" s="129">
        <v>673</v>
      </c>
      <c r="E168" s="129">
        <v>779</v>
      </c>
      <c r="F168" s="171">
        <v>961</v>
      </c>
      <c r="G168" s="129">
        <v>805</v>
      </c>
      <c r="H168" s="129">
        <v>663</v>
      </c>
      <c r="I168" s="129">
        <v>914</v>
      </c>
      <c r="J168" s="129">
        <v>1102</v>
      </c>
      <c r="K168" s="129">
        <v>958</v>
      </c>
      <c r="L168" s="130">
        <v>992</v>
      </c>
      <c r="M168" s="130">
        <v>1023</v>
      </c>
      <c r="N168" s="130">
        <v>1204</v>
      </c>
      <c r="O168" s="129">
        <f>SUM(C168:N168)</f>
        <v>10820</v>
      </c>
    </row>
    <row r="169" spans="2:15" x14ac:dyDescent="0.25">
      <c r="B169" s="125" t="s">
        <v>75</v>
      </c>
      <c r="C169" s="131">
        <f t="shared" ref="C169:O169" si="79">C165/C162</f>
        <v>1.8726790450928381</v>
      </c>
      <c r="D169" s="131">
        <f t="shared" si="79"/>
        <v>1.8944281524926687</v>
      </c>
      <c r="E169" s="131">
        <f t="shared" si="79"/>
        <v>2.2297650130548301</v>
      </c>
      <c r="F169" s="131">
        <f t="shared" si="79"/>
        <v>2.0196078431372548</v>
      </c>
      <c r="G169" s="131">
        <f t="shared" si="79"/>
        <v>1.9717948717948719</v>
      </c>
      <c r="H169" s="131">
        <f t="shared" si="79"/>
        <v>2.2782874617737003</v>
      </c>
      <c r="I169" s="131">
        <f t="shared" si="79"/>
        <v>2.1671087533156497</v>
      </c>
      <c r="J169" s="131">
        <f t="shared" si="79"/>
        <v>2.3768472906403941</v>
      </c>
      <c r="K169" s="131">
        <f t="shared" si="79"/>
        <v>2.1483679525222552</v>
      </c>
      <c r="L169" s="132">
        <f t="shared" si="79"/>
        <v>2.4375</v>
      </c>
      <c r="M169" s="132">
        <f t="shared" si="79"/>
        <v>1.935275080906149</v>
      </c>
      <c r="N169" s="132">
        <f t="shared" si="79"/>
        <v>2.2212389380530975</v>
      </c>
      <c r="O169" s="131">
        <f t="shared" si="79"/>
        <v>2.1319772942289497</v>
      </c>
    </row>
    <row r="170" spans="2:15" x14ac:dyDescent="0.25">
      <c r="B170" s="128" t="s">
        <v>76</v>
      </c>
      <c r="C170" s="131">
        <f t="shared" ref="C170:O170" si="80">C164/C163*100</f>
        <v>72.528616024973985</v>
      </c>
      <c r="D170" s="131">
        <f t="shared" si="80"/>
        <v>71.428571428571431</v>
      </c>
      <c r="E170" s="131">
        <f t="shared" si="80"/>
        <v>76.274713839750262</v>
      </c>
      <c r="F170" s="131">
        <f t="shared" si="80"/>
        <v>64.623655913978496</v>
      </c>
      <c r="G170" s="131">
        <f t="shared" si="80"/>
        <v>77.107180020811654</v>
      </c>
      <c r="H170" s="131">
        <f t="shared" si="80"/>
        <v>72.688172043010752</v>
      </c>
      <c r="I170" s="131">
        <f t="shared" si="80"/>
        <v>76.066597294484922</v>
      </c>
      <c r="J170" s="131">
        <f t="shared" si="80"/>
        <v>80.957336108220602</v>
      </c>
      <c r="K170" s="131">
        <f t="shared" si="80"/>
        <v>72.688172043010752</v>
      </c>
      <c r="L170" s="132">
        <f t="shared" si="80"/>
        <v>67.53381893860562</v>
      </c>
      <c r="M170" s="132">
        <f t="shared" si="80"/>
        <v>62.365591397849464</v>
      </c>
      <c r="N170" s="132">
        <f t="shared" si="80"/>
        <v>72.840790842872011</v>
      </c>
      <c r="O170" s="131">
        <f t="shared" si="80"/>
        <v>72.311091471498017</v>
      </c>
    </row>
    <row r="171" spans="2:15" x14ac:dyDescent="0.25">
      <c r="B171" s="125" t="s">
        <v>77</v>
      </c>
      <c r="C171" s="131">
        <f>C162/C160</f>
        <v>12.161290322580646</v>
      </c>
      <c r="D171" s="131">
        <f t="shared" ref="D171:O171" si="81">D162/D160</f>
        <v>11</v>
      </c>
      <c r="E171" s="131">
        <f t="shared" si="81"/>
        <v>12.35483870967742</v>
      </c>
      <c r="F171" s="131">
        <f t="shared" si="81"/>
        <v>9.870967741935484</v>
      </c>
      <c r="G171" s="131">
        <f t="shared" si="81"/>
        <v>12.580645161290322</v>
      </c>
      <c r="H171" s="131">
        <f t="shared" si="81"/>
        <v>10.548387096774194</v>
      </c>
      <c r="I171" s="131">
        <f t="shared" si="81"/>
        <v>12.161290322580646</v>
      </c>
      <c r="J171" s="131">
        <f t="shared" si="81"/>
        <v>13.096774193548388</v>
      </c>
      <c r="K171" s="131">
        <f t="shared" si="81"/>
        <v>10.870967741935484</v>
      </c>
      <c r="L171" s="132">
        <f t="shared" si="81"/>
        <v>10.838709677419354</v>
      </c>
      <c r="M171" s="132">
        <f t="shared" si="81"/>
        <v>9.9677419354838701</v>
      </c>
      <c r="N171" s="132">
        <f t="shared" si="81"/>
        <v>10.935483870967742</v>
      </c>
      <c r="O171" s="131">
        <f t="shared" si="81"/>
        <v>11.365591397849462</v>
      </c>
    </row>
    <row r="172" spans="2:15" x14ac:dyDescent="0.25">
      <c r="B172" s="125" t="s">
        <v>24</v>
      </c>
      <c r="C172" s="131">
        <f>(C163-C164)/C162</f>
        <v>0.70026525198938994</v>
      </c>
      <c r="D172" s="131">
        <f t="shared" ref="D172:O172" si="82">(D163-D164)/D162</f>
        <v>0.72727272727272729</v>
      </c>
      <c r="E172" s="131">
        <f t="shared" si="82"/>
        <v>0.59530026109660572</v>
      </c>
      <c r="F172" s="131">
        <f t="shared" si="82"/>
        <v>1.0751633986928104</v>
      </c>
      <c r="G172" s="131">
        <f t="shared" si="82"/>
        <v>0.5641025641025641</v>
      </c>
      <c r="H172" s="131">
        <f t="shared" si="82"/>
        <v>0.77675840978593269</v>
      </c>
      <c r="I172" s="131">
        <f t="shared" si="82"/>
        <v>0.61007957559681703</v>
      </c>
      <c r="J172" s="131">
        <f t="shared" si="82"/>
        <v>0.45073891625615764</v>
      </c>
      <c r="K172" s="131">
        <f t="shared" si="82"/>
        <v>0.75370919881305642</v>
      </c>
      <c r="L172" s="132">
        <f t="shared" si="82"/>
        <v>0.9285714285714286</v>
      </c>
      <c r="M172" s="132">
        <f t="shared" si="82"/>
        <v>1.1326860841423949</v>
      </c>
      <c r="N172" s="132">
        <f t="shared" si="82"/>
        <v>0.76991150442477874</v>
      </c>
      <c r="O172" s="131">
        <f t="shared" si="82"/>
        <v>0.74101229895931886</v>
      </c>
    </row>
    <row r="173" spans="2:15" x14ac:dyDescent="0.25">
      <c r="B173" s="125"/>
      <c r="C173" s="131"/>
      <c r="D173" s="126"/>
      <c r="E173" s="131"/>
      <c r="F173" s="131"/>
      <c r="G173" s="126"/>
      <c r="H173" s="126"/>
      <c r="I173" s="126"/>
      <c r="J173" s="126"/>
      <c r="K173" s="126"/>
      <c r="L173" s="127"/>
      <c r="M173" s="127"/>
      <c r="N173" s="127"/>
      <c r="O173" s="126"/>
    </row>
    <row r="174" spans="2:15" x14ac:dyDescent="0.25">
      <c r="B174" s="135" t="s">
        <v>94</v>
      </c>
      <c r="C174" s="131">
        <f>C168/C163*100</f>
        <v>77.627471383975021</v>
      </c>
      <c r="D174" s="131">
        <f t="shared" ref="D174:O174" si="83">D168/D163*100</f>
        <v>77.534562211981566</v>
      </c>
      <c r="E174" s="131">
        <f t="shared" si="83"/>
        <v>81.061394380853287</v>
      </c>
      <c r="F174" s="131">
        <f t="shared" si="83"/>
        <v>103.33333333333334</v>
      </c>
      <c r="G174" s="131">
        <f t="shared" si="83"/>
        <v>83.766909469302803</v>
      </c>
      <c r="H174" s="131">
        <f t="shared" si="83"/>
        <v>71.290322580645153</v>
      </c>
      <c r="I174" s="131">
        <f t="shared" si="83"/>
        <v>95.109261186264305</v>
      </c>
      <c r="J174" s="131">
        <f t="shared" si="83"/>
        <v>114.67221644120708</v>
      </c>
      <c r="K174" s="131">
        <f t="shared" si="83"/>
        <v>103.01075268817203</v>
      </c>
      <c r="L174" s="132">
        <f t="shared" si="83"/>
        <v>103.2258064516129</v>
      </c>
      <c r="M174" s="132">
        <f t="shared" si="83"/>
        <v>110.00000000000001</v>
      </c>
      <c r="N174" s="132">
        <f t="shared" si="83"/>
        <v>125.28616024973986</v>
      </c>
      <c r="O174" s="131">
        <f t="shared" si="83"/>
        <v>95.62527618205921</v>
      </c>
    </row>
    <row r="175" spans="2:15" x14ac:dyDescent="0.25">
      <c r="B175" s="125" t="s">
        <v>26</v>
      </c>
      <c r="C175" s="126">
        <f>SUM(C176:C177)</f>
        <v>0</v>
      </c>
      <c r="D175" s="126">
        <f t="shared" ref="D175:N175" si="84">SUM(D176:D177)</f>
        <v>0</v>
      </c>
      <c r="E175" s="126">
        <f t="shared" si="84"/>
        <v>0</v>
      </c>
      <c r="F175" s="126">
        <f t="shared" si="84"/>
        <v>0</v>
      </c>
      <c r="G175" s="126">
        <f t="shared" si="84"/>
        <v>0</v>
      </c>
      <c r="H175" s="126">
        <f t="shared" si="84"/>
        <v>0</v>
      </c>
      <c r="I175" s="126">
        <f t="shared" si="84"/>
        <v>0</v>
      </c>
      <c r="J175" s="126">
        <f t="shared" si="84"/>
        <v>0</v>
      </c>
      <c r="K175" s="126">
        <f t="shared" si="84"/>
        <v>0</v>
      </c>
      <c r="L175" s="127">
        <f t="shared" si="84"/>
        <v>0</v>
      </c>
      <c r="M175" s="127">
        <f t="shared" si="84"/>
        <v>0</v>
      </c>
      <c r="N175" s="127">
        <f t="shared" si="84"/>
        <v>0</v>
      </c>
      <c r="O175" s="126">
        <f t="shared" si="77"/>
        <v>0</v>
      </c>
    </row>
    <row r="176" spans="2:15" x14ac:dyDescent="0.25">
      <c r="B176" s="125" t="s">
        <v>79</v>
      </c>
      <c r="C176" s="126">
        <v>0</v>
      </c>
      <c r="D176" s="126">
        <v>0</v>
      </c>
      <c r="E176" s="126">
        <v>0</v>
      </c>
      <c r="F176" s="126">
        <v>0</v>
      </c>
      <c r="G176" s="126">
        <v>0</v>
      </c>
      <c r="H176" s="126">
        <v>0</v>
      </c>
      <c r="I176" s="126">
        <v>0</v>
      </c>
      <c r="J176" s="126">
        <v>0</v>
      </c>
      <c r="K176" s="126">
        <v>0</v>
      </c>
      <c r="L176" s="127">
        <v>0</v>
      </c>
      <c r="M176" s="127">
        <v>0</v>
      </c>
      <c r="N176" s="127">
        <v>0</v>
      </c>
      <c r="O176" s="126">
        <f t="shared" si="77"/>
        <v>0</v>
      </c>
    </row>
    <row r="177" spans="2:15" x14ac:dyDescent="0.25">
      <c r="B177" s="125" t="s">
        <v>80</v>
      </c>
      <c r="C177" s="126">
        <v>0</v>
      </c>
      <c r="D177" s="126">
        <v>0</v>
      </c>
      <c r="E177" s="126">
        <v>0</v>
      </c>
      <c r="F177" s="126">
        <v>0</v>
      </c>
      <c r="G177" s="126">
        <v>0</v>
      </c>
      <c r="H177" s="126">
        <v>0</v>
      </c>
      <c r="I177" s="126">
        <v>0</v>
      </c>
      <c r="J177" s="126">
        <v>0</v>
      </c>
      <c r="K177" s="126">
        <v>0</v>
      </c>
      <c r="L177" s="127">
        <v>0</v>
      </c>
      <c r="M177" s="127">
        <v>0</v>
      </c>
      <c r="N177" s="127">
        <v>0</v>
      </c>
      <c r="O177" s="126">
        <f t="shared" si="77"/>
        <v>0</v>
      </c>
    </row>
    <row r="178" spans="2:15" x14ac:dyDescent="0.25">
      <c r="B178" s="125" t="s">
        <v>31</v>
      </c>
      <c r="C178" s="126">
        <v>0</v>
      </c>
      <c r="D178" s="126">
        <v>0</v>
      </c>
      <c r="E178" s="126">
        <v>0</v>
      </c>
      <c r="F178" s="126">
        <v>1</v>
      </c>
      <c r="G178" s="126">
        <v>0</v>
      </c>
      <c r="H178" s="126">
        <v>0</v>
      </c>
      <c r="I178" s="126">
        <v>0</v>
      </c>
      <c r="J178" s="126">
        <v>0</v>
      </c>
      <c r="K178" s="126">
        <v>3</v>
      </c>
      <c r="L178" s="127">
        <v>0</v>
      </c>
      <c r="M178" s="127">
        <v>0</v>
      </c>
      <c r="N178" s="127">
        <v>3</v>
      </c>
      <c r="O178" s="126">
        <f t="shared" si="77"/>
        <v>7</v>
      </c>
    </row>
    <row r="179" spans="2:15" x14ac:dyDescent="0.25">
      <c r="B179" s="125" t="s">
        <v>60</v>
      </c>
      <c r="C179" s="126">
        <v>262</v>
      </c>
      <c r="D179" s="126">
        <v>239</v>
      </c>
      <c r="E179" s="126">
        <v>263</v>
      </c>
      <c r="F179" s="126">
        <v>231</v>
      </c>
      <c r="G179" s="126">
        <v>265</v>
      </c>
      <c r="H179" s="126">
        <v>209</v>
      </c>
      <c r="I179" s="126">
        <v>302</v>
      </c>
      <c r="J179" s="126">
        <v>286</v>
      </c>
      <c r="K179" s="126">
        <v>248</v>
      </c>
      <c r="L179" s="127">
        <v>234</v>
      </c>
      <c r="M179" s="127">
        <v>192</v>
      </c>
      <c r="N179" s="127">
        <v>248</v>
      </c>
      <c r="O179" s="126">
        <f t="shared" si="77"/>
        <v>2979</v>
      </c>
    </row>
    <row r="180" spans="2:15" x14ac:dyDescent="0.25">
      <c r="B180" s="125" t="s">
        <v>34</v>
      </c>
      <c r="C180" s="126">
        <v>265</v>
      </c>
      <c r="D180" s="126">
        <v>241</v>
      </c>
      <c r="E180" s="126">
        <v>262</v>
      </c>
      <c r="F180" s="126">
        <v>233</v>
      </c>
      <c r="G180" s="126">
        <v>263</v>
      </c>
      <c r="H180" s="126">
        <v>209</v>
      </c>
      <c r="I180" s="126">
        <v>301</v>
      </c>
      <c r="J180" s="126">
        <v>287</v>
      </c>
      <c r="K180" s="126">
        <v>247</v>
      </c>
      <c r="L180" s="127">
        <v>234</v>
      </c>
      <c r="M180" s="127">
        <v>192</v>
      </c>
      <c r="N180" s="127">
        <v>246</v>
      </c>
      <c r="O180" s="126">
        <f t="shared" si="77"/>
        <v>2980</v>
      </c>
    </row>
    <row r="181" spans="2:15" x14ac:dyDescent="0.25">
      <c r="B181" s="125" t="s">
        <v>35</v>
      </c>
      <c r="C181" s="126">
        <v>55</v>
      </c>
      <c r="D181" s="126">
        <v>51</v>
      </c>
      <c r="E181" s="126">
        <v>60</v>
      </c>
      <c r="F181" s="126">
        <v>39</v>
      </c>
      <c r="G181" s="126">
        <v>60</v>
      </c>
      <c r="H181" s="126">
        <v>56</v>
      </c>
      <c r="I181" s="126">
        <v>50</v>
      </c>
      <c r="J181" s="126">
        <v>63</v>
      </c>
      <c r="K181" s="126">
        <v>50</v>
      </c>
      <c r="L181" s="127">
        <v>67</v>
      </c>
      <c r="M181" s="127">
        <v>68</v>
      </c>
      <c r="N181" s="127">
        <v>47</v>
      </c>
      <c r="O181" s="126">
        <f t="shared" si="77"/>
        <v>666</v>
      </c>
    </row>
    <row r="182" spans="2:15" x14ac:dyDescent="0.25">
      <c r="B182" s="128" t="s">
        <v>36</v>
      </c>
      <c r="C182" s="126">
        <v>83</v>
      </c>
      <c r="D182" s="126">
        <v>68</v>
      </c>
      <c r="E182" s="126">
        <v>112</v>
      </c>
      <c r="F182" s="126">
        <v>86</v>
      </c>
      <c r="G182" s="126">
        <v>94</v>
      </c>
      <c r="H182" s="126">
        <v>69</v>
      </c>
      <c r="I182" s="126">
        <v>116</v>
      </c>
      <c r="J182" s="126">
        <v>113</v>
      </c>
      <c r="K182" s="126">
        <v>95</v>
      </c>
      <c r="L182" s="127">
        <v>78</v>
      </c>
      <c r="M182" s="127">
        <v>75</v>
      </c>
      <c r="N182" s="127">
        <v>96</v>
      </c>
      <c r="O182" s="126">
        <f t="shared" si="77"/>
        <v>1085</v>
      </c>
    </row>
    <row r="183" spans="2:15" x14ac:dyDescent="0.25">
      <c r="B183" s="128" t="s">
        <v>37</v>
      </c>
      <c r="C183" s="126">
        <v>55</v>
      </c>
      <c r="D183" s="126">
        <v>51</v>
      </c>
      <c r="E183" s="126">
        <v>59</v>
      </c>
      <c r="F183" s="126">
        <v>37</v>
      </c>
      <c r="G183" s="126">
        <v>60</v>
      </c>
      <c r="H183" s="126">
        <v>56</v>
      </c>
      <c r="I183" s="126">
        <v>50</v>
      </c>
      <c r="J183" s="126">
        <v>60</v>
      </c>
      <c r="K183" s="126">
        <v>49</v>
      </c>
      <c r="L183" s="127">
        <v>64</v>
      </c>
      <c r="M183" s="127">
        <v>67</v>
      </c>
      <c r="N183" s="127">
        <v>47</v>
      </c>
      <c r="O183" s="126">
        <f t="shared" si="77"/>
        <v>655</v>
      </c>
    </row>
    <row r="184" spans="2:15" x14ac:dyDescent="0.25">
      <c r="B184" s="128" t="s">
        <v>38</v>
      </c>
      <c r="C184" s="126">
        <v>0</v>
      </c>
      <c r="D184" s="126">
        <v>0</v>
      </c>
      <c r="E184" s="126">
        <v>1</v>
      </c>
      <c r="F184" s="126">
        <v>2</v>
      </c>
      <c r="G184" s="126">
        <v>3</v>
      </c>
      <c r="H184" s="126">
        <v>0</v>
      </c>
      <c r="I184" s="126">
        <v>0</v>
      </c>
      <c r="J184" s="126">
        <v>3</v>
      </c>
      <c r="K184" s="126">
        <v>1</v>
      </c>
      <c r="L184" s="127">
        <v>3</v>
      </c>
      <c r="M184" s="127">
        <v>1</v>
      </c>
      <c r="N184" s="127">
        <v>0</v>
      </c>
      <c r="O184" s="126">
        <f t="shared" si="77"/>
        <v>14</v>
      </c>
    </row>
    <row r="185" spans="2:15" x14ac:dyDescent="0.25">
      <c r="B185" s="128" t="s">
        <v>81</v>
      </c>
      <c r="C185" s="126">
        <v>0</v>
      </c>
      <c r="D185" s="126">
        <v>0</v>
      </c>
      <c r="E185" s="126">
        <v>0</v>
      </c>
      <c r="F185" s="126">
        <v>0</v>
      </c>
      <c r="G185" s="126">
        <v>0</v>
      </c>
      <c r="H185" s="126">
        <v>0</v>
      </c>
      <c r="I185" s="126">
        <v>0</v>
      </c>
      <c r="J185" s="126">
        <v>0</v>
      </c>
      <c r="K185" s="126">
        <v>0</v>
      </c>
      <c r="L185" s="127">
        <v>0</v>
      </c>
      <c r="M185" s="127"/>
      <c r="N185" s="127"/>
      <c r="O185" s="126">
        <f t="shared" si="77"/>
        <v>0</v>
      </c>
    </row>
    <row r="186" spans="2:15" x14ac:dyDescent="0.25">
      <c r="B186" s="128" t="s">
        <v>39</v>
      </c>
      <c r="C186" s="126">
        <v>12</v>
      </c>
      <c r="D186" s="126">
        <v>2</v>
      </c>
      <c r="E186" s="126">
        <v>0</v>
      </c>
      <c r="F186" s="126">
        <v>5</v>
      </c>
      <c r="G186" s="126">
        <v>7</v>
      </c>
      <c r="H186" s="126">
        <v>4</v>
      </c>
      <c r="I186" s="126">
        <v>5</v>
      </c>
      <c r="J186" s="126">
        <v>8</v>
      </c>
      <c r="K186" s="126">
        <v>5</v>
      </c>
      <c r="L186" s="127">
        <v>4</v>
      </c>
      <c r="M186" s="127">
        <v>2</v>
      </c>
      <c r="N186" s="127">
        <v>3</v>
      </c>
      <c r="O186" s="126">
        <f t="shared" si="77"/>
        <v>57</v>
      </c>
    </row>
    <row r="187" spans="2:15" x14ac:dyDescent="0.25">
      <c r="B187" s="128" t="s">
        <v>40</v>
      </c>
      <c r="C187" s="126">
        <v>179</v>
      </c>
      <c r="D187" s="126">
        <v>171</v>
      </c>
      <c r="E187" s="126">
        <v>151</v>
      </c>
      <c r="F187" s="126">
        <v>145</v>
      </c>
      <c r="G187" s="126">
        <v>171</v>
      </c>
      <c r="H187" s="126">
        <v>140</v>
      </c>
      <c r="I187" s="126">
        <v>186</v>
      </c>
      <c r="J187" s="126">
        <v>173</v>
      </c>
      <c r="K187" s="126">
        <v>153</v>
      </c>
      <c r="L187" s="127">
        <v>156</v>
      </c>
      <c r="M187" s="127">
        <v>117</v>
      </c>
      <c r="N187" s="127">
        <v>152</v>
      </c>
      <c r="O187" s="126">
        <f t="shared" si="77"/>
        <v>1894</v>
      </c>
    </row>
    <row r="188" spans="2:15" x14ac:dyDescent="0.25">
      <c r="B188" s="128" t="s">
        <v>41</v>
      </c>
      <c r="C188" s="126">
        <v>1</v>
      </c>
      <c r="D188" s="126">
        <v>0</v>
      </c>
      <c r="E188" s="126">
        <v>0</v>
      </c>
      <c r="F188" s="126">
        <v>0</v>
      </c>
      <c r="G188" s="126">
        <v>0</v>
      </c>
      <c r="H188" s="126">
        <v>0</v>
      </c>
      <c r="I188" s="126">
        <v>0</v>
      </c>
      <c r="J188" s="126">
        <v>1</v>
      </c>
      <c r="K188" s="126">
        <v>0</v>
      </c>
      <c r="L188" s="127">
        <v>0</v>
      </c>
      <c r="M188" s="127">
        <v>0</v>
      </c>
      <c r="N188" s="127">
        <v>0</v>
      </c>
      <c r="O188" s="126">
        <f t="shared" si="77"/>
        <v>2</v>
      </c>
    </row>
    <row r="189" spans="2:15" x14ac:dyDescent="0.25">
      <c r="B189" s="128" t="s">
        <v>82</v>
      </c>
      <c r="C189" s="126"/>
      <c r="D189" s="126"/>
      <c r="E189" s="126"/>
      <c r="F189" s="126"/>
      <c r="G189" s="126"/>
      <c r="H189" s="126"/>
      <c r="I189" s="126"/>
      <c r="J189" s="126"/>
      <c r="K189" s="126"/>
      <c r="L189" s="127"/>
      <c r="M189" s="127"/>
      <c r="N189" s="127"/>
      <c r="O189" s="126">
        <f t="shared" si="77"/>
        <v>0</v>
      </c>
    </row>
    <row r="190" spans="2:15" x14ac:dyDescent="0.25">
      <c r="B190" s="128" t="s">
        <v>42</v>
      </c>
      <c r="C190" s="126">
        <v>16</v>
      </c>
      <c r="D190" s="126">
        <v>19</v>
      </c>
      <c r="E190" s="126">
        <v>20</v>
      </c>
      <c r="F190" s="126">
        <v>20</v>
      </c>
      <c r="G190" s="126">
        <v>25</v>
      </c>
      <c r="H190" s="126">
        <v>13</v>
      </c>
      <c r="I190" s="126">
        <v>26</v>
      </c>
      <c r="J190" s="126">
        <v>18</v>
      </c>
      <c r="K190" s="126">
        <v>19</v>
      </c>
      <c r="L190" s="127">
        <v>23</v>
      </c>
      <c r="M190" s="127">
        <v>10</v>
      </c>
      <c r="N190" s="127">
        <v>16</v>
      </c>
      <c r="O190" s="126">
        <f t="shared" si="77"/>
        <v>225</v>
      </c>
    </row>
    <row r="191" spans="2:15" x14ac:dyDescent="0.25">
      <c r="B191" s="128" t="s">
        <v>43</v>
      </c>
      <c r="C191" s="126">
        <v>0</v>
      </c>
      <c r="D191" s="126">
        <v>1</v>
      </c>
      <c r="E191" s="126">
        <v>2</v>
      </c>
      <c r="F191" s="126">
        <v>0</v>
      </c>
      <c r="G191" s="126">
        <v>1</v>
      </c>
      <c r="H191" s="126">
        <v>1</v>
      </c>
      <c r="I191" s="126">
        <v>1</v>
      </c>
      <c r="J191" s="126">
        <v>1</v>
      </c>
      <c r="K191" s="126">
        <v>0</v>
      </c>
      <c r="L191" s="127">
        <v>0</v>
      </c>
      <c r="M191" s="127">
        <v>1</v>
      </c>
      <c r="N191" s="127">
        <v>2</v>
      </c>
      <c r="O191" s="126">
        <f t="shared" si="77"/>
        <v>10</v>
      </c>
    </row>
    <row r="192" spans="2:15" x14ac:dyDescent="0.25">
      <c r="B192" s="128" t="s">
        <v>44</v>
      </c>
      <c r="C192" s="126">
        <v>2</v>
      </c>
      <c r="D192" s="126">
        <v>3</v>
      </c>
      <c r="E192" s="126">
        <v>5</v>
      </c>
      <c r="F192" s="126">
        <v>1</v>
      </c>
      <c r="G192" s="126">
        <v>5</v>
      </c>
      <c r="H192" s="126">
        <v>3</v>
      </c>
      <c r="I192" s="126">
        <v>2</v>
      </c>
      <c r="J192" s="126">
        <v>3</v>
      </c>
      <c r="K192" s="126">
        <v>3</v>
      </c>
      <c r="L192" s="127">
        <v>0</v>
      </c>
      <c r="M192" s="127">
        <v>2</v>
      </c>
      <c r="N192" s="127">
        <v>1</v>
      </c>
      <c r="O192" s="126">
        <f t="shared" si="77"/>
        <v>30</v>
      </c>
    </row>
    <row r="193" spans="2:15" x14ac:dyDescent="0.25">
      <c r="B193" s="128" t="s">
        <v>45</v>
      </c>
      <c r="C193" s="126">
        <v>0</v>
      </c>
      <c r="D193" s="126">
        <v>1</v>
      </c>
      <c r="E193" s="126">
        <v>1</v>
      </c>
      <c r="F193" s="126">
        <v>0</v>
      </c>
      <c r="G193" s="126">
        <v>1</v>
      </c>
      <c r="H193" s="126">
        <v>1</v>
      </c>
      <c r="I193" s="126">
        <v>0</v>
      </c>
      <c r="J193" s="126">
        <v>1</v>
      </c>
      <c r="K193" s="126">
        <v>0</v>
      </c>
      <c r="L193" s="127">
        <v>0</v>
      </c>
      <c r="M193" s="127">
        <v>1</v>
      </c>
      <c r="N193" s="127">
        <v>1</v>
      </c>
      <c r="O193" s="126">
        <f t="shared" si="77"/>
        <v>7</v>
      </c>
    </row>
    <row r="194" spans="2:15" x14ac:dyDescent="0.25">
      <c r="B194" s="128" t="s">
        <v>83</v>
      </c>
      <c r="C194" s="126"/>
      <c r="D194" s="126"/>
      <c r="E194" s="126"/>
      <c r="F194" s="126"/>
      <c r="G194" s="126"/>
      <c r="H194" s="126"/>
      <c r="I194" s="126"/>
      <c r="J194" s="126"/>
      <c r="K194" s="126"/>
      <c r="L194" s="127"/>
      <c r="M194" s="127"/>
      <c r="N194" s="127"/>
      <c r="O194" s="126">
        <f t="shared" si="77"/>
        <v>0</v>
      </c>
    </row>
    <row r="195" spans="2:15" ht="15.75" x14ac:dyDescent="0.25">
      <c r="B195" s="141"/>
      <c r="C195" s="167"/>
      <c r="D195" s="167"/>
      <c r="E195" s="167"/>
      <c r="F195" s="167"/>
      <c r="G195" s="167"/>
      <c r="H195" s="167"/>
      <c r="I195" s="167"/>
      <c r="J195" s="167"/>
      <c r="K195" s="139"/>
      <c r="L195" s="140"/>
      <c r="M195" s="140"/>
      <c r="N195" s="140"/>
      <c r="O195" s="139"/>
    </row>
    <row r="196" spans="2:15" ht="15.75" x14ac:dyDescent="0.25">
      <c r="B196" s="141"/>
      <c r="C196" s="167"/>
      <c r="D196" s="167"/>
      <c r="E196" s="167"/>
      <c r="F196" s="167"/>
      <c r="G196" s="167"/>
      <c r="H196" s="167"/>
      <c r="I196" s="167"/>
      <c r="J196" s="167"/>
      <c r="K196" s="139"/>
      <c r="L196" s="140"/>
      <c r="M196" s="140"/>
      <c r="N196" s="140"/>
      <c r="O196" s="139"/>
    </row>
    <row r="197" spans="2:15" ht="15.75" x14ac:dyDescent="0.25">
      <c r="B197" s="141"/>
      <c r="C197" s="167"/>
      <c r="D197" s="166" t="s">
        <v>96</v>
      </c>
      <c r="E197" s="166"/>
      <c r="F197" s="166"/>
      <c r="G197" s="166"/>
      <c r="H197" s="166"/>
      <c r="I197" s="166"/>
      <c r="J197" s="166"/>
      <c r="K197" s="166"/>
      <c r="L197" s="140"/>
      <c r="M197" s="140"/>
      <c r="N197" s="140"/>
      <c r="O197" s="139"/>
    </row>
    <row r="198" spans="2:15" x14ac:dyDescent="0.25">
      <c r="B198" s="1" t="s">
        <v>62</v>
      </c>
      <c r="C198" s="139"/>
      <c r="D198" s="172"/>
      <c r="E198" s="139"/>
      <c r="F198" s="139"/>
      <c r="G198" s="139"/>
      <c r="H198" s="139"/>
      <c r="I198" s="139"/>
      <c r="J198" s="139"/>
      <c r="K198" s="139"/>
      <c r="L198" s="140"/>
      <c r="M198" s="140" t="s">
        <v>101</v>
      </c>
      <c r="N198" s="163" t="s">
        <v>62</v>
      </c>
      <c r="O198" s="139"/>
    </row>
    <row r="199" spans="2:15" x14ac:dyDescent="0.25">
      <c r="B199" s="1"/>
      <c r="C199" s="123" t="s">
        <v>1</v>
      </c>
      <c r="D199" s="173" t="s">
        <v>2</v>
      </c>
      <c r="E199" s="123" t="s">
        <v>3</v>
      </c>
      <c r="F199" s="123" t="s">
        <v>4</v>
      </c>
      <c r="G199" s="123" t="s">
        <v>5</v>
      </c>
      <c r="H199" s="123" t="s">
        <v>6</v>
      </c>
      <c r="I199" s="123" t="s">
        <v>7</v>
      </c>
      <c r="J199" s="173" t="s">
        <v>8</v>
      </c>
      <c r="K199" s="173" t="s">
        <v>9</v>
      </c>
      <c r="L199" s="174" t="s">
        <v>10</v>
      </c>
      <c r="M199" s="174" t="s">
        <v>11</v>
      </c>
      <c r="N199" s="174" t="s">
        <v>12</v>
      </c>
      <c r="O199" s="123" t="s">
        <v>13</v>
      </c>
    </row>
    <row r="200" spans="2:15" x14ac:dyDescent="0.25">
      <c r="B200" s="125" t="s">
        <v>14</v>
      </c>
      <c r="C200" s="126">
        <v>6</v>
      </c>
      <c r="D200" s="126">
        <v>6</v>
      </c>
      <c r="E200" s="126">
        <v>6</v>
      </c>
      <c r="F200" s="126">
        <v>6</v>
      </c>
      <c r="G200" s="126">
        <v>6</v>
      </c>
      <c r="H200" s="126">
        <v>6</v>
      </c>
      <c r="I200" s="126">
        <v>6</v>
      </c>
      <c r="J200" s="126">
        <v>6</v>
      </c>
      <c r="K200" s="126">
        <v>6</v>
      </c>
      <c r="L200" s="127">
        <v>6</v>
      </c>
      <c r="M200" s="127">
        <v>6</v>
      </c>
      <c r="N200" s="127">
        <v>6</v>
      </c>
      <c r="O200" s="126">
        <f>SUM(C200:N200)</f>
        <v>72</v>
      </c>
    </row>
    <row r="201" spans="2:15" x14ac:dyDescent="0.25">
      <c r="B201" s="125" t="s">
        <v>15</v>
      </c>
      <c r="C201" s="126">
        <v>21</v>
      </c>
      <c r="D201" s="126">
        <v>15</v>
      </c>
      <c r="E201" s="126">
        <v>17</v>
      </c>
      <c r="F201" s="126">
        <v>10</v>
      </c>
      <c r="G201" s="126">
        <v>12</v>
      </c>
      <c r="H201" s="126">
        <v>19</v>
      </c>
      <c r="I201" s="126">
        <v>19</v>
      </c>
      <c r="J201" s="126">
        <v>15</v>
      </c>
      <c r="K201" s="126">
        <v>18</v>
      </c>
      <c r="L201" s="127">
        <v>22</v>
      </c>
      <c r="M201" s="127">
        <v>19</v>
      </c>
      <c r="N201" s="127">
        <v>15</v>
      </c>
      <c r="O201" s="126">
        <f t="shared" ref="O201:O216" si="85">SUM(C201:N201)</f>
        <v>202</v>
      </c>
    </row>
    <row r="202" spans="2:15" x14ac:dyDescent="0.25">
      <c r="B202" s="125" t="s">
        <v>16</v>
      </c>
      <c r="C202" s="126">
        <v>21</v>
      </c>
      <c r="D202" s="126">
        <v>15</v>
      </c>
      <c r="E202" s="126">
        <v>19</v>
      </c>
      <c r="F202" s="126">
        <v>8</v>
      </c>
      <c r="G202" s="126">
        <v>13</v>
      </c>
      <c r="H202" s="126">
        <v>16</v>
      </c>
      <c r="I202" s="126">
        <v>20</v>
      </c>
      <c r="J202" s="126">
        <v>16</v>
      </c>
      <c r="K202" s="126">
        <v>18</v>
      </c>
      <c r="L202" s="127">
        <v>22</v>
      </c>
      <c r="M202" s="127">
        <v>19</v>
      </c>
      <c r="N202" s="127">
        <v>14</v>
      </c>
      <c r="O202" s="126">
        <f t="shared" si="85"/>
        <v>201</v>
      </c>
    </row>
    <row r="203" spans="2:15" x14ac:dyDescent="0.25">
      <c r="B203" s="125" t="s">
        <v>17</v>
      </c>
      <c r="C203" s="126">
        <f>31*6</f>
        <v>186</v>
      </c>
      <c r="D203" s="126">
        <f>6*28</f>
        <v>168</v>
      </c>
      <c r="E203" s="126">
        <f>6*31</f>
        <v>186</v>
      </c>
      <c r="F203" s="126">
        <f>6*30</f>
        <v>180</v>
      </c>
      <c r="G203" s="126">
        <f>31*6</f>
        <v>186</v>
      </c>
      <c r="H203" s="126">
        <f>30*6</f>
        <v>180</v>
      </c>
      <c r="I203" s="126">
        <f>6*31</f>
        <v>186</v>
      </c>
      <c r="J203" s="126">
        <f>6*31</f>
        <v>186</v>
      </c>
      <c r="K203" s="126">
        <f>6*30</f>
        <v>180</v>
      </c>
      <c r="L203" s="127">
        <f>6*31</f>
        <v>186</v>
      </c>
      <c r="M203" s="127">
        <f>6*30</f>
        <v>180</v>
      </c>
      <c r="N203" s="127">
        <f>6*31</f>
        <v>186</v>
      </c>
      <c r="O203" s="126">
        <f t="shared" si="85"/>
        <v>2190</v>
      </c>
    </row>
    <row r="204" spans="2:15" x14ac:dyDescent="0.25">
      <c r="B204" s="125" t="s">
        <v>18</v>
      </c>
      <c r="C204" s="126">
        <v>76</v>
      </c>
      <c r="D204" s="126">
        <v>66</v>
      </c>
      <c r="E204" s="126">
        <v>95</v>
      </c>
      <c r="F204" s="126">
        <v>35</v>
      </c>
      <c r="G204" s="126">
        <v>37</v>
      </c>
      <c r="H204" s="126">
        <v>72</v>
      </c>
      <c r="I204" s="126">
        <v>94</v>
      </c>
      <c r="J204" s="126">
        <v>81</v>
      </c>
      <c r="K204" s="126">
        <v>80</v>
      </c>
      <c r="L204" s="127">
        <v>100</v>
      </c>
      <c r="M204" s="127">
        <v>96</v>
      </c>
      <c r="N204" s="127">
        <v>48</v>
      </c>
      <c r="O204" s="126">
        <f t="shared" si="85"/>
        <v>880</v>
      </c>
    </row>
    <row r="205" spans="2:15" x14ac:dyDescent="0.25">
      <c r="B205" s="125" t="s">
        <v>19</v>
      </c>
      <c r="C205" s="126">
        <v>115</v>
      </c>
      <c r="D205" s="126">
        <v>82</v>
      </c>
      <c r="E205" s="126">
        <v>145</v>
      </c>
      <c r="F205" s="126">
        <v>57</v>
      </c>
      <c r="G205" s="126">
        <v>41</v>
      </c>
      <c r="H205" s="126">
        <v>133</v>
      </c>
      <c r="I205" s="126">
        <v>123</v>
      </c>
      <c r="J205" s="126">
        <v>162</v>
      </c>
      <c r="K205" s="126">
        <v>129</v>
      </c>
      <c r="L205" s="127">
        <v>103</v>
      </c>
      <c r="M205" s="127">
        <v>106</v>
      </c>
      <c r="N205" s="127">
        <v>57</v>
      </c>
      <c r="O205" s="126">
        <f t="shared" si="85"/>
        <v>1253</v>
      </c>
    </row>
    <row r="206" spans="2:15" x14ac:dyDescent="0.25">
      <c r="B206" s="134" t="s">
        <v>59</v>
      </c>
      <c r="C206" s="126">
        <v>103</v>
      </c>
      <c r="D206" s="126">
        <v>103</v>
      </c>
      <c r="E206" s="126">
        <v>112</v>
      </c>
      <c r="F206" s="126">
        <v>112</v>
      </c>
      <c r="G206" s="126">
        <v>91</v>
      </c>
      <c r="H206" s="126">
        <v>130</v>
      </c>
      <c r="I206" s="126">
        <v>144</v>
      </c>
      <c r="J206" s="126">
        <v>134</v>
      </c>
      <c r="K206" s="126">
        <v>112</v>
      </c>
      <c r="L206" s="127">
        <v>141</v>
      </c>
      <c r="M206" s="127">
        <v>132</v>
      </c>
      <c r="N206" s="127">
        <v>127</v>
      </c>
      <c r="O206" s="126">
        <f t="shared" si="85"/>
        <v>1441</v>
      </c>
    </row>
    <row r="207" spans="2:15" x14ac:dyDescent="0.25">
      <c r="B207" s="125" t="s">
        <v>74</v>
      </c>
      <c r="C207" s="131">
        <f t="shared" ref="C207:N207" si="86">C204/C202</f>
        <v>3.6190476190476191</v>
      </c>
      <c r="D207" s="131">
        <f t="shared" si="86"/>
        <v>4.4000000000000004</v>
      </c>
      <c r="E207" s="131">
        <f t="shared" si="86"/>
        <v>5</v>
      </c>
      <c r="F207" s="131">
        <f t="shared" si="86"/>
        <v>4.375</v>
      </c>
      <c r="G207" s="131">
        <f t="shared" si="86"/>
        <v>2.8461538461538463</v>
      </c>
      <c r="H207" s="131">
        <f t="shared" si="86"/>
        <v>4.5</v>
      </c>
      <c r="I207" s="131">
        <f t="shared" si="86"/>
        <v>4.7</v>
      </c>
      <c r="J207" s="131">
        <f t="shared" si="86"/>
        <v>5.0625</v>
      </c>
      <c r="K207" s="131">
        <f t="shared" si="86"/>
        <v>4.4444444444444446</v>
      </c>
      <c r="L207" s="132">
        <f t="shared" si="86"/>
        <v>4.5454545454545459</v>
      </c>
      <c r="M207" s="132">
        <f t="shared" si="86"/>
        <v>5.0526315789473681</v>
      </c>
      <c r="N207" s="132">
        <f t="shared" si="86"/>
        <v>3.4285714285714284</v>
      </c>
      <c r="O207" s="131">
        <f>O204/O202</f>
        <v>4.378109452736318</v>
      </c>
    </row>
    <row r="208" spans="2:15" x14ac:dyDescent="0.25">
      <c r="B208" s="125" t="s">
        <v>75</v>
      </c>
      <c r="C208" s="131">
        <f t="shared" ref="C208:N208" si="87">C205/C202</f>
        <v>5.4761904761904763</v>
      </c>
      <c r="D208" s="131">
        <f t="shared" si="87"/>
        <v>5.4666666666666668</v>
      </c>
      <c r="E208" s="131">
        <f t="shared" si="87"/>
        <v>7.6315789473684212</v>
      </c>
      <c r="F208" s="131">
        <f t="shared" si="87"/>
        <v>7.125</v>
      </c>
      <c r="G208" s="131">
        <f t="shared" si="87"/>
        <v>3.1538461538461537</v>
      </c>
      <c r="H208" s="131">
        <f t="shared" si="87"/>
        <v>8.3125</v>
      </c>
      <c r="I208" s="131">
        <f t="shared" si="87"/>
        <v>6.15</v>
      </c>
      <c r="J208" s="131">
        <f t="shared" si="87"/>
        <v>10.125</v>
      </c>
      <c r="K208" s="131">
        <f t="shared" si="87"/>
        <v>7.166666666666667</v>
      </c>
      <c r="L208" s="132">
        <f t="shared" si="87"/>
        <v>4.6818181818181817</v>
      </c>
      <c r="M208" s="132">
        <f t="shared" si="87"/>
        <v>5.5789473684210522</v>
      </c>
      <c r="N208" s="132">
        <f t="shared" si="87"/>
        <v>4.0714285714285712</v>
      </c>
      <c r="O208" s="131">
        <f>O205/O202</f>
        <v>6.233830845771144</v>
      </c>
    </row>
    <row r="209" spans="2:15" x14ac:dyDescent="0.25">
      <c r="B209" s="128" t="s">
        <v>102</v>
      </c>
      <c r="C209" s="131">
        <f t="shared" ref="C209:O209" si="88">C204/C203*100</f>
        <v>40.86021505376344</v>
      </c>
      <c r="D209" s="131">
        <f t="shared" si="88"/>
        <v>39.285714285714285</v>
      </c>
      <c r="E209" s="131">
        <f t="shared" si="88"/>
        <v>51.075268817204304</v>
      </c>
      <c r="F209" s="131">
        <f t="shared" si="88"/>
        <v>19.444444444444446</v>
      </c>
      <c r="G209" s="131">
        <f t="shared" si="88"/>
        <v>19.892473118279568</v>
      </c>
      <c r="H209" s="131">
        <f t="shared" si="88"/>
        <v>40</v>
      </c>
      <c r="I209" s="131">
        <f t="shared" si="88"/>
        <v>50.537634408602152</v>
      </c>
      <c r="J209" s="131">
        <f t="shared" si="88"/>
        <v>43.548387096774192</v>
      </c>
      <c r="K209" s="131">
        <f t="shared" si="88"/>
        <v>44.444444444444443</v>
      </c>
      <c r="L209" s="132">
        <f t="shared" si="88"/>
        <v>53.763440860215049</v>
      </c>
      <c r="M209" s="132">
        <f t="shared" si="88"/>
        <v>53.333333333333336</v>
      </c>
      <c r="N209" s="132">
        <f t="shared" si="88"/>
        <v>25.806451612903224</v>
      </c>
      <c r="O209" s="131">
        <f t="shared" si="88"/>
        <v>40.182648401826484</v>
      </c>
    </row>
    <row r="210" spans="2:15" x14ac:dyDescent="0.25">
      <c r="B210" s="125" t="s">
        <v>77</v>
      </c>
      <c r="C210" s="131">
        <f>SUM(C202/C200)</f>
        <v>3.5</v>
      </c>
      <c r="D210" s="131">
        <f t="shared" ref="D210:O210" si="89">SUM(D202/D200)</f>
        <v>2.5</v>
      </c>
      <c r="E210" s="131">
        <f t="shared" si="89"/>
        <v>3.1666666666666665</v>
      </c>
      <c r="F210" s="131">
        <f t="shared" si="89"/>
        <v>1.3333333333333333</v>
      </c>
      <c r="G210" s="131">
        <f t="shared" si="89"/>
        <v>2.1666666666666665</v>
      </c>
      <c r="H210" s="131">
        <f t="shared" si="89"/>
        <v>2.6666666666666665</v>
      </c>
      <c r="I210" s="131">
        <f t="shared" si="89"/>
        <v>3.3333333333333335</v>
      </c>
      <c r="J210" s="131">
        <f t="shared" si="89"/>
        <v>2.6666666666666665</v>
      </c>
      <c r="K210" s="131">
        <f t="shared" si="89"/>
        <v>3</v>
      </c>
      <c r="L210" s="132">
        <f t="shared" si="89"/>
        <v>3.6666666666666665</v>
      </c>
      <c r="M210" s="132">
        <f t="shared" si="89"/>
        <v>3.1666666666666665</v>
      </c>
      <c r="N210" s="132">
        <f>SUM(N202/N200)</f>
        <v>2.3333333333333335</v>
      </c>
      <c r="O210" s="131">
        <f t="shared" si="89"/>
        <v>2.7916666666666665</v>
      </c>
    </row>
    <row r="211" spans="2:15" x14ac:dyDescent="0.25">
      <c r="B211" s="125" t="s">
        <v>24</v>
      </c>
      <c r="C211" s="131">
        <v>5.41</v>
      </c>
      <c r="D211" s="126">
        <v>9.4600000000000009</v>
      </c>
      <c r="E211" s="131">
        <v>6.3</v>
      </c>
      <c r="F211" s="126">
        <v>3.43</v>
      </c>
      <c r="G211" s="126">
        <v>5.43</v>
      </c>
      <c r="H211" s="131">
        <v>5.71</v>
      </c>
      <c r="I211" s="131">
        <f t="shared" ref="I211:O211" si="90">(I203-I204)/I202</f>
        <v>4.5999999999999996</v>
      </c>
      <c r="J211" s="131">
        <f t="shared" si="90"/>
        <v>6.5625</v>
      </c>
      <c r="K211" s="131">
        <f t="shared" si="90"/>
        <v>5.5555555555555554</v>
      </c>
      <c r="L211" s="132">
        <f t="shared" si="90"/>
        <v>3.9090909090909092</v>
      </c>
      <c r="M211" s="132">
        <f t="shared" si="90"/>
        <v>4.4210526315789478</v>
      </c>
      <c r="N211" s="132">
        <f t="shared" si="90"/>
        <v>9.8571428571428577</v>
      </c>
      <c r="O211" s="131">
        <f t="shared" si="90"/>
        <v>6.5174129353233834</v>
      </c>
    </row>
    <row r="212" spans="2:15" x14ac:dyDescent="0.25">
      <c r="B212" s="156" t="s">
        <v>103</v>
      </c>
      <c r="C212" s="131">
        <f>C206/C203*100</f>
        <v>55.376344086021504</v>
      </c>
      <c r="D212" s="131">
        <f t="shared" ref="D212:O212" si="91">D206/D203*100</f>
        <v>61.30952380952381</v>
      </c>
      <c r="E212" s="131">
        <f t="shared" si="91"/>
        <v>60.215053763440864</v>
      </c>
      <c r="F212" s="131">
        <f t="shared" si="91"/>
        <v>62.222222222222221</v>
      </c>
      <c r="G212" s="131">
        <f t="shared" si="91"/>
        <v>48.924731182795696</v>
      </c>
      <c r="H212" s="131">
        <f t="shared" si="91"/>
        <v>72.222222222222214</v>
      </c>
      <c r="I212" s="131">
        <f t="shared" si="91"/>
        <v>77.41935483870968</v>
      </c>
      <c r="J212" s="131">
        <f t="shared" si="91"/>
        <v>72.043010752688176</v>
      </c>
      <c r="K212" s="131">
        <f t="shared" si="91"/>
        <v>62.222222222222221</v>
      </c>
      <c r="L212" s="132">
        <f t="shared" si="91"/>
        <v>75.806451612903231</v>
      </c>
      <c r="M212" s="132">
        <f t="shared" si="91"/>
        <v>73.333333333333329</v>
      </c>
      <c r="N212" s="132">
        <f t="shared" si="91"/>
        <v>68.27956989247312</v>
      </c>
      <c r="O212" s="131">
        <f t="shared" si="91"/>
        <v>65.799086757990864</v>
      </c>
    </row>
    <row r="213" spans="2:15" x14ac:dyDescent="0.25">
      <c r="B213" s="125" t="s">
        <v>26</v>
      </c>
      <c r="C213" s="126">
        <f>SUM(C214:C215)</f>
        <v>5</v>
      </c>
      <c r="D213" s="126">
        <f t="shared" ref="D213:N213" si="92">SUM(D214:D215)</f>
        <v>5</v>
      </c>
      <c r="E213" s="126">
        <f t="shared" si="92"/>
        <v>6</v>
      </c>
      <c r="F213" s="126">
        <f t="shared" si="92"/>
        <v>2</v>
      </c>
      <c r="G213" s="126">
        <f t="shared" si="92"/>
        <v>2</v>
      </c>
      <c r="H213" s="126">
        <f t="shared" si="92"/>
        <v>3</v>
      </c>
      <c r="I213" s="126">
        <f t="shared" si="92"/>
        <v>4</v>
      </c>
      <c r="J213" s="126">
        <f t="shared" si="92"/>
        <v>3</v>
      </c>
      <c r="K213" s="126">
        <f t="shared" si="92"/>
        <v>3</v>
      </c>
      <c r="L213" s="127">
        <f t="shared" si="92"/>
        <v>4</v>
      </c>
      <c r="M213" s="127">
        <f t="shared" si="92"/>
        <v>5</v>
      </c>
      <c r="N213" s="127">
        <f t="shared" si="92"/>
        <v>4</v>
      </c>
      <c r="O213" s="126">
        <f t="shared" si="85"/>
        <v>46</v>
      </c>
    </row>
    <row r="214" spans="2:15" x14ac:dyDescent="0.25">
      <c r="B214" s="125" t="s">
        <v>79</v>
      </c>
      <c r="C214" s="126">
        <v>4</v>
      </c>
      <c r="D214" s="126">
        <v>3</v>
      </c>
      <c r="E214" s="126">
        <v>3</v>
      </c>
      <c r="F214" s="126">
        <v>2</v>
      </c>
      <c r="G214" s="126">
        <v>2</v>
      </c>
      <c r="H214" s="126">
        <v>1</v>
      </c>
      <c r="I214" s="126">
        <v>4</v>
      </c>
      <c r="J214" s="126">
        <v>1</v>
      </c>
      <c r="K214" s="126">
        <v>2</v>
      </c>
      <c r="L214" s="127">
        <v>3</v>
      </c>
      <c r="M214" s="127">
        <v>3</v>
      </c>
      <c r="N214" s="127">
        <v>2</v>
      </c>
      <c r="O214" s="126">
        <f t="shared" si="85"/>
        <v>30</v>
      </c>
    </row>
    <row r="215" spans="2:15" x14ac:dyDescent="0.25">
      <c r="B215" s="125" t="s">
        <v>80</v>
      </c>
      <c r="C215" s="126">
        <v>1</v>
      </c>
      <c r="D215" s="126">
        <v>2</v>
      </c>
      <c r="E215" s="126">
        <v>3</v>
      </c>
      <c r="F215" s="126">
        <v>0</v>
      </c>
      <c r="G215" s="126">
        <v>0</v>
      </c>
      <c r="H215" s="126">
        <v>2</v>
      </c>
      <c r="I215" s="126">
        <v>0</v>
      </c>
      <c r="J215" s="126">
        <v>2</v>
      </c>
      <c r="K215" s="126">
        <v>1</v>
      </c>
      <c r="L215" s="127">
        <v>1</v>
      </c>
      <c r="M215" s="127">
        <v>2</v>
      </c>
      <c r="N215" s="127">
        <v>2</v>
      </c>
      <c r="O215" s="126">
        <f t="shared" si="85"/>
        <v>16</v>
      </c>
    </row>
    <row r="216" spans="2:15" x14ac:dyDescent="0.25">
      <c r="B216" s="125" t="s">
        <v>31</v>
      </c>
      <c r="C216" s="126">
        <v>1</v>
      </c>
      <c r="D216" s="126">
        <v>0</v>
      </c>
      <c r="E216" s="126">
        <v>0</v>
      </c>
      <c r="F216" s="126">
        <v>0</v>
      </c>
      <c r="G216" s="126">
        <v>0</v>
      </c>
      <c r="H216" s="126">
        <v>0</v>
      </c>
      <c r="I216" s="126">
        <v>2</v>
      </c>
      <c r="J216" s="126">
        <v>1</v>
      </c>
      <c r="K216" s="126">
        <v>1</v>
      </c>
      <c r="L216" s="127">
        <v>1</v>
      </c>
      <c r="M216" s="127">
        <v>1</v>
      </c>
      <c r="N216" s="127"/>
      <c r="O216" s="126">
        <f t="shared" si="85"/>
        <v>7</v>
      </c>
    </row>
    <row r="217" spans="2:15" x14ac:dyDescent="0.25">
      <c r="B217" s="1"/>
      <c r="C217" s="139"/>
      <c r="D217" s="139"/>
      <c r="E217" s="139"/>
      <c r="F217" s="139"/>
      <c r="G217" s="139"/>
      <c r="H217" s="139"/>
      <c r="I217" s="139"/>
      <c r="J217" s="179"/>
      <c r="K217" s="138"/>
      <c r="L217" s="140"/>
      <c r="M217" s="140"/>
      <c r="N217" s="140"/>
      <c r="O217" s="139"/>
    </row>
    <row r="218" spans="2:15" ht="15.75" x14ac:dyDescent="0.25">
      <c r="B218" s="141"/>
      <c r="C218" s="167"/>
      <c r="D218" s="167"/>
      <c r="E218" s="167"/>
      <c r="F218" s="167"/>
      <c r="G218" s="167"/>
      <c r="H218" s="167"/>
      <c r="I218" s="167"/>
      <c r="J218" s="167"/>
      <c r="K218" s="139"/>
      <c r="L218" s="163"/>
      <c r="M218" s="140"/>
      <c r="N218" s="140"/>
      <c r="O218" s="139"/>
    </row>
    <row r="219" spans="2:15" ht="15.75" x14ac:dyDescent="0.25">
      <c r="B219" s="141"/>
      <c r="C219" s="167"/>
      <c r="D219" s="190" t="s">
        <v>96</v>
      </c>
      <c r="E219" s="190"/>
      <c r="F219" s="190"/>
      <c r="G219" s="190"/>
      <c r="H219" s="190"/>
      <c r="I219" s="190"/>
      <c r="J219" s="190"/>
      <c r="K219" s="190"/>
      <c r="L219" s="140"/>
      <c r="M219" s="140"/>
      <c r="N219" s="140"/>
      <c r="O219" s="139"/>
    </row>
    <row r="220" spans="2:15" x14ac:dyDescent="0.25">
      <c r="B220" s="175" t="s">
        <v>67</v>
      </c>
      <c r="C220" s="139"/>
      <c r="D220" s="172"/>
      <c r="E220" s="139"/>
      <c r="F220" s="139"/>
      <c r="G220" s="139"/>
      <c r="H220" s="139"/>
      <c r="I220" s="139"/>
      <c r="J220" s="139"/>
      <c r="K220" s="139"/>
      <c r="L220" s="140"/>
      <c r="M220" s="140" t="s">
        <v>104</v>
      </c>
      <c r="N220" s="163" t="s">
        <v>105</v>
      </c>
      <c r="O220" s="139"/>
    </row>
    <row r="221" spans="2:15" x14ac:dyDescent="0.25">
      <c r="B221" s="1"/>
      <c r="C221" s="123" t="s">
        <v>1</v>
      </c>
      <c r="D221" s="173" t="s">
        <v>2</v>
      </c>
      <c r="E221" s="123" t="s">
        <v>3</v>
      </c>
      <c r="F221" s="123" t="s">
        <v>4</v>
      </c>
      <c r="G221" s="123" t="s">
        <v>5</v>
      </c>
      <c r="H221" s="123" t="s">
        <v>6</v>
      </c>
      <c r="I221" s="123" t="s">
        <v>7</v>
      </c>
      <c r="J221" s="173" t="s">
        <v>8</v>
      </c>
      <c r="K221" s="173" t="s">
        <v>9</v>
      </c>
      <c r="L221" s="174" t="s">
        <v>10</v>
      </c>
      <c r="M221" s="174" t="s">
        <v>11</v>
      </c>
      <c r="N221" s="174" t="s">
        <v>12</v>
      </c>
      <c r="O221" s="123" t="s">
        <v>13</v>
      </c>
    </row>
    <row r="222" spans="2:15" x14ac:dyDescent="0.25">
      <c r="B222" s="125" t="s">
        <v>14</v>
      </c>
      <c r="C222" s="126">
        <v>4</v>
      </c>
      <c r="D222" s="126">
        <v>4</v>
      </c>
      <c r="E222" s="126">
        <v>4</v>
      </c>
      <c r="F222" s="126">
        <v>4</v>
      </c>
      <c r="G222" s="126">
        <v>4</v>
      </c>
      <c r="H222" s="126">
        <v>4</v>
      </c>
      <c r="I222" s="126">
        <v>4</v>
      </c>
      <c r="J222" s="126">
        <v>4</v>
      </c>
      <c r="K222" s="126">
        <v>4</v>
      </c>
      <c r="L222" s="127">
        <v>4</v>
      </c>
      <c r="M222" s="127">
        <v>4</v>
      </c>
      <c r="N222" s="127">
        <v>4</v>
      </c>
      <c r="O222" s="126">
        <v>4</v>
      </c>
    </row>
    <row r="223" spans="2:15" x14ac:dyDescent="0.25">
      <c r="B223" s="125" t="s">
        <v>15</v>
      </c>
      <c r="C223" s="126">
        <v>7</v>
      </c>
      <c r="D223" s="126">
        <v>10</v>
      </c>
      <c r="E223" s="126">
        <v>12</v>
      </c>
      <c r="F223" s="126">
        <v>11</v>
      </c>
      <c r="G223" s="126">
        <v>6</v>
      </c>
      <c r="H223" s="126">
        <v>8</v>
      </c>
      <c r="I223" s="126">
        <v>11</v>
      </c>
      <c r="J223" s="126">
        <v>16</v>
      </c>
      <c r="K223" s="126">
        <v>8</v>
      </c>
      <c r="L223" s="127">
        <v>6</v>
      </c>
      <c r="M223" s="127">
        <v>9</v>
      </c>
      <c r="N223" s="127">
        <v>3</v>
      </c>
      <c r="O223" s="126">
        <f t="shared" ref="O223:O228" si="93">SUM(C223:N223)</f>
        <v>107</v>
      </c>
    </row>
    <row r="224" spans="2:15" x14ac:dyDescent="0.25">
      <c r="B224" s="125" t="s">
        <v>16</v>
      </c>
      <c r="C224" s="126">
        <v>5</v>
      </c>
      <c r="D224" s="126">
        <v>10</v>
      </c>
      <c r="E224" s="126">
        <v>12</v>
      </c>
      <c r="F224" s="126">
        <v>10</v>
      </c>
      <c r="G224" s="126">
        <v>6</v>
      </c>
      <c r="H224" s="126">
        <v>6</v>
      </c>
      <c r="I224" s="126">
        <v>13</v>
      </c>
      <c r="J224" s="126">
        <v>14</v>
      </c>
      <c r="K224" s="126">
        <v>9</v>
      </c>
      <c r="L224" s="127">
        <v>8</v>
      </c>
      <c r="M224" s="127">
        <v>6</v>
      </c>
      <c r="N224" s="127">
        <v>5</v>
      </c>
      <c r="O224" s="126">
        <f t="shared" si="93"/>
        <v>104</v>
      </c>
    </row>
    <row r="225" spans="2:15" x14ac:dyDescent="0.25">
      <c r="B225" s="125" t="s">
        <v>17</v>
      </c>
      <c r="C225" s="126">
        <f>31*4</f>
        <v>124</v>
      </c>
      <c r="D225" s="126">
        <v>112</v>
      </c>
      <c r="E225" s="126">
        <f>31*4</f>
        <v>124</v>
      </c>
      <c r="F225" s="126">
        <f>4*30</f>
        <v>120</v>
      </c>
      <c r="G225" s="126">
        <f>31*4</f>
        <v>124</v>
      </c>
      <c r="H225" s="126">
        <f>30*4</f>
        <v>120</v>
      </c>
      <c r="I225" s="126">
        <f>4*31</f>
        <v>124</v>
      </c>
      <c r="J225" s="126">
        <f>4*31</f>
        <v>124</v>
      </c>
      <c r="K225" s="126">
        <f>4*30</f>
        <v>120</v>
      </c>
      <c r="L225" s="127">
        <f>4*31</f>
        <v>124</v>
      </c>
      <c r="M225" s="127">
        <f>4*30</f>
        <v>120</v>
      </c>
      <c r="N225" s="127">
        <f>4*31</f>
        <v>124</v>
      </c>
      <c r="O225" s="126">
        <f t="shared" si="93"/>
        <v>1460</v>
      </c>
    </row>
    <row r="226" spans="2:15" x14ac:dyDescent="0.25">
      <c r="B226" s="176" t="s">
        <v>18</v>
      </c>
      <c r="C226" s="177">
        <v>46</v>
      </c>
      <c r="D226" s="177">
        <v>32</v>
      </c>
      <c r="E226" s="177">
        <v>58</v>
      </c>
      <c r="F226" s="177">
        <v>56</v>
      </c>
      <c r="G226" s="177">
        <v>23</v>
      </c>
      <c r="H226" s="177">
        <v>27</v>
      </c>
      <c r="I226" s="177">
        <v>79</v>
      </c>
      <c r="J226" s="126">
        <v>60</v>
      </c>
      <c r="K226" s="126">
        <v>53</v>
      </c>
      <c r="L226" s="127">
        <v>61</v>
      </c>
      <c r="M226" s="127">
        <v>20</v>
      </c>
      <c r="N226" s="127">
        <v>36</v>
      </c>
      <c r="O226" s="126">
        <f t="shared" si="93"/>
        <v>551</v>
      </c>
    </row>
    <row r="227" spans="2:15" x14ac:dyDescent="0.25">
      <c r="B227" s="125" t="s">
        <v>19</v>
      </c>
      <c r="C227" s="126">
        <v>58</v>
      </c>
      <c r="D227" s="126">
        <v>42</v>
      </c>
      <c r="E227" s="126">
        <v>76</v>
      </c>
      <c r="F227" s="126">
        <v>85</v>
      </c>
      <c r="G227" s="126">
        <v>36</v>
      </c>
      <c r="H227" s="126">
        <v>73</v>
      </c>
      <c r="I227" s="126">
        <v>80</v>
      </c>
      <c r="J227" s="126">
        <v>132</v>
      </c>
      <c r="K227" s="126">
        <v>79</v>
      </c>
      <c r="L227" s="127">
        <v>88</v>
      </c>
      <c r="M227" s="127">
        <v>20</v>
      </c>
      <c r="N227" s="127">
        <v>89</v>
      </c>
      <c r="O227" s="126">
        <f t="shared" si="93"/>
        <v>858</v>
      </c>
    </row>
    <row r="228" spans="2:15" x14ac:dyDescent="0.25">
      <c r="B228" s="125" t="s">
        <v>106</v>
      </c>
      <c r="C228" s="126">
        <v>77</v>
      </c>
      <c r="D228" s="126">
        <v>83</v>
      </c>
      <c r="E228" s="126">
        <v>78</v>
      </c>
      <c r="F228" s="126">
        <v>92</v>
      </c>
      <c r="G228" s="126">
        <v>62</v>
      </c>
      <c r="H228" s="126">
        <v>59</v>
      </c>
      <c r="I228" s="126">
        <v>107</v>
      </c>
      <c r="J228" s="126">
        <v>85</v>
      </c>
      <c r="K228" s="126">
        <v>90</v>
      </c>
      <c r="L228" s="127">
        <v>80</v>
      </c>
      <c r="M228" s="127">
        <v>93</v>
      </c>
      <c r="N228" s="127">
        <v>86</v>
      </c>
      <c r="O228" s="126">
        <f t="shared" si="93"/>
        <v>992</v>
      </c>
    </row>
    <row r="229" spans="2:15" x14ac:dyDescent="0.25">
      <c r="B229" s="125" t="s">
        <v>74</v>
      </c>
      <c r="C229" s="131">
        <f t="shared" ref="C229:N229" si="94">C226/C224</f>
        <v>9.1999999999999993</v>
      </c>
      <c r="D229" s="131">
        <f>D226/D224</f>
        <v>3.2</v>
      </c>
      <c r="E229" s="131">
        <f t="shared" si="94"/>
        <v>4.833333333333333</v>
      </c>
      <c r="F229" s="131">
        <f t="shared" si="94"/>
        <v>5.6</v>
      </c>
      <c r="G229" s="131">
        <f t="shared" si="94"/>
        <v>3.8333333333333335</v>
      </c>
      <c r="H229" s="131">
        <f t="shared" si="94"/>
        <v>4.5</v>
      </c>
      <c r="I229" s="131">
        <f t="shared" si="94"/>
        <v>6.0769230769230766</v>
      </c>
      <c r="J229" s="131">
        <f t="shared" si="94"/>
        <v>4.2857142857142856</v>
      </c>
      <c r="K229" s="131">
        <f t="shared" si="94"/>
        <v>5.8888888888888893</v>
      </c>
      <c r="L229" s="132">
        <f t="shared" si="94"/>
        <v>7.625</v>
      </c>
      <c r="M229" s="132">
        <f t="shared" si="94"/>
        <v>3.3333333333333335</v>
      </c>
      <c r="N229" s="132">
        <f t="shared" si="94"/>
        <v>7.2</v>
      </c>
      <c r="O229" s="131">
        <f>O226/O224</f>
        <v>5.2980769230769234</v>
      </c>
    </row>
    <row r="230" spans="2:15" x14ac:dyDescent="0.25">
      <c r="B230" s="125" t="s">
        <v>75</v>
      </c>
      <c r="C230" s="131">
        <f t="shared" ref="C230:O230" si="95">C227/C224</f>
        <v>11.6</v>
      </c>
      <c r="D230" s="131">
        <f>D227/D224</f>
        <v>4.2</v>
      </c>
      <c r="E230" s="131">
        <f t="shared" si="95"/>
        <v>6.333333333333333</v>
      </c>
      <c r="F230" s="131">
        <f t="shared" si="95"/>
        <v>8.5</v>
      </c>
      <c r="G230" s="131">
        <f t="shared" si="95"/>
        <v>6</v>
      </c>
      <c r="H230" s="131">
        <f t="shared" si="95"/>
        <v>12.166666666666666</v>
      </c>
      <c r="I230" s="131">
        <f t="shared" si="95"/>
        <v>6.1538461538461542</v>
      </c>
      <c r="J230" s="131">
        <f t="shared" si="95"/>
        <v>9.4285714285714288</v>
      </c>
      <c r="K230" s="131">
        <f t="shared" si="95"/>
        <v>8.7777777777777786</v>
      </c>
      <c r="L230" s="132">
        <f t="shared" si="95"/>
        <v>11</v>
      </c>
      <c r="M230" s="132">
        <f t="shared" si="95"/>
        <v>3.3333333333333335</v>
      </c>
      <c r="N230" s="132">
        <f t="shared" si="95"/>
        <v>17.8</v>
      </c>
      <c r="O230" s="131">
        <f t="shared" si="95"/>
        <v>8.25</v>
      </c>
    </row>
    <row r="231" spans="2:15" x14ac:dyDescent="0.25">
      <c r="B231" s="178" t="s">
        <v>102</v>
      </c>
      <c r="C231" s="131">
        <f t="shared" ref="C231:O231" si="96">C226/C225*100</f>
        <v>37.096774193548384</v>
      </c>
      <c r="D231" s="131">
        <f>D226/D225*100</f>
        <v>28.571428571428569</v>
      </c>
      <c r="E231" s="131">
        <f t="shared" si="96"/>
        <v>46.774193548387096</v>
      </c>
      <c r="F231" s="131">
        <f t="shared" si="96"/>
        <v>46.666666666666664</v>
      </c>
      <c r="G231" s="131">
        <f t="shared" si="96"/>
        <v>18.548387096774192</v>
      </c>
      <c r="H231" s="131">
        <f t="shared" si="96"/>
        <v>22.5</v>
      </c>
      <c r="I231" s="131">
        <f t="shared" si="96"/>
        <v>63.70967741935484</v>
      </c>
      <c r="J231" s="131">
        <f t="shared" si="96"/>
        <v>48.387096774193552</v>
      </c>
      <c r="K231" s="131">
        <f t="shared" si="96"/>
        <v>44.166666666666664</v>
      </c>
      <c r="L231" s="132">
        <f t="shared" si="96"/>
        <v>49.193548387096776</v>
      </c>
      <c r="M231" s="132">
        <f t="shared" si="96"/>
        <v>16.666666666666664</v>
      </c>
      <c r="N231" s="132">
        <f t="shared" si="96"/>
        <v>29.032258064516132</v>
      </c>
      <c r="O231" s="131">
        <f t="shared" si="96"/>
        <v>37.739726027397261</v>
      </c>
    </row>
    <row r="232" spans="2:15" x14ac:dyDescent="0.25">
      <c r="B232" s="125" t="s">
        <v>77</v>
      </c>
      <c r="C232" s="131">
        <f>SUM(C224/C222)</f>
        <v>1.25</v>
      </c>
      <c r="D232" s="131">
        <f t="shared" ref="D232:O232" si="97">SUM(D224/D222)</f>
        <v>2.5</v>
      </c>
      <c r="E232" s="131">
        <f t="shared" si="97"/>
        <v>3</v>
      </c>
      <c r="F232" s="131">
        <f t="shared" si="97"/>
        <v>2.5</v>
      </c>
      <c r="G232" s="131">
        <f t="shared" si="97"/>
        <v>1.5</v>
      </c>
      <c r="H232" s="131">
        <f t="shared" si="97"/>
        <v>1.5</v>
      </c>
      <c r="I232" s="131">
        <f t="shared" si="97"/>
        <v>3.25</v>
      </c>
      <c r="J232" s="131">
        <f t="shared" si="97"/>
        <v>3.5</v>
      </c>
      <c r="K232" s="131">
        <f t="shared" si="97"/>
        <v>2.25</v>
      </c>
      <c r="L232" s="132">
        <f t="shared" si="97"/>
        <v>2</v>
      </c>
      <c r="M232" s="132">
        <f t="shared" si="97"/>
        <v>1.5</v>
      </c>
      <c r="N232" s="132">
        <f t="shared" si="97"/>
        <v>1.25</v>
      </c>
      <c r="O232" s="131">
        <f t="shared" si="97"/>
        <v>26</v>
      </c>
    </row>
    <row r="233" spans="2:15" x14ac:dyDescent="0.25">
      <c r="B233" s="125" t="s">
        <v>24</v>
      </c>
      <c r="C233" s="131">
        <f t="shared" ref="C233:N233" si="98">(C225-C226)/C224</f>
        <v>15.6</v>
      </c>
      <c r="D233" s="131">
        <f t="shared" si="98"/>
        <v>8</v>
      </c>
      <c r="E233" s="131">
        <f t="shared" si="98"/>
        <v>5.5</v>
      </c>
      <c r="F233" s="131">
        <f t="shared" si="98"/>
        <v>6.4</v>
      </c>
      <c r="G233" s="131">
        <f t="shared" si="98"/>
        <v>16.833333333333332</v>
      </c>
      <c r="H233" s="131">
        <f t="shared" si="98"/>
        <v>15.5</v>
      </c>
      <c r="I233" s="131">
        <f t="shared" si="98"/>
        <v>3.4615384615384617</v>
      </c>
      <c r="J233" s="131">
        <f t="shared" si="98"/>
        <v>4.5714285714285712</v>
      </c>
      <c r="K233" s="131">
        <f t="shared" si="98"/>
        <v>7.4444444444444446</v>
      </c>
      <c r="L233" s="132">
        <f t="shared" si="98"/>
        <v>7.875</v>
      </c>
      <c r="M233" s="132">
        <f t="shared" si="98"/>
        <v>16.666666666666668</v>
      </c>
      <c r="N233" s="132">
        <f t="shared" si="98"/>
        <v>17.600000000000001</v>
      </c>
      <c r="O233" s="126">
        <v>9.35</v>
      </c>
    </row>
    <row r="234" spans="2:15" x14ac:dyDescent="0.25">
      <c r="B234" s="128" t="s">
        <v>103</v>
      </c>
      <c r="C234" s="131">
        <f>C228/C225*100</f>
        <v>62.096774193548384</v>
      </c>
      <c r="D234" s="131">
        <f t="shared" ref="D234:O234" si="99">D228/D225*100</f>
        <v>74.107142857142861</v>
      </c>
      <c r="E234" s="131">
        <f t="shared" si="99"/>
        <v>62.903225806451616</v>
      </c>
      <c r="F234" s="131">
        <f t="shared" si="99"/>
        <v>76.666666666666671</v>
      </c>
      <c r="G234" s="131">
        <f t="shared" si="99"/>
        <v>50</v>
      </c>
      <c r="H234" s="131">
        <f t="shared" si="99"/>
        <v>49.166666666666664</v>
      </c>
      <c r="I234" s="131">
        <f t="shared" si="99"/>
        <v>86.290322580645167</v>
      </c>
      <c r="J234" s="131">
        <f t="shared" si="99"/>
        <v>68.548387096774192</v>
      </c>
      <c r="K234" s="131">
        <f t="shared" si="99"/>
        <v>75</v>
      </c>
      <c r="L234" s="132">
        <f t="shared" si="99"/>
        <v>64.516129032258064</v>
      </c>
      <c r="M234" s="132">
        <f t="shared" si="99"/>
        <v>77.5</v>
      </c>
      <c r="N234" s="132">
        <f t="shared" si="99"/>
        <v>69.354838709677423</v>
      </c>
      <c r="O234" s="131">
        <f t="shared" si="99"/>
        <v>67.945205479452056</v>
      </c>
    </row>
    <row r="235" spans="2:15" x14ac:dyDescent="0.25">
      <c r="B235" s="125" t="s">
        <v>26</v>
      </c>
      <c r="C235" s="126">
        <f>SUM(C236:C237)</f>
        <v>0</v>
      </c>
      <c r="D235" s="126">
        <f t="shared" ref="D235:N235" si="100">SUM(D236:D237)</f>
        <v>1</v>
      </c>
      <c r="E235" s="126">
        <f t="shared" si="100"/>
        <v>2</v>
      </c>
      <c r="F235" s="126">
        <f t="shared" si="100"/>
        <v>0</v>
      </c>
      <c r="G235" s="126">
        <f t="shared" si="100"/>
        <v>2</v>
      </c>
      <c r="H235" s="126">
        <f t="shared" si="100"/>
        <v>1</v>
      </c>
      <c r="I235" s="126">
        <f t="shared" si="100"/>
        <v>1</v>
      </c>
      <c r="J235" s="126">
        <f t="shared" si="100"/>
        <v>2</v>
      </c>
      <c r="K235" s="126">
        <f t="shared" si="100"/>
        <v>0</v>
      </c>
      <c r="L235" s="127">
        <f t="shared" si="100"/>
        <v>1</v>
      </c>
      <c r="M235" s="127">
        <f t="shared" si="100"/>
        <v>1</v>
      </c>
      <c r="N235" s="127">
        <f t="shared" si="100"/>
        <v>3</v>
      </c>
      <c r="O235" s="126">
        <f>SUM(C235:N235)</f>
        <v>14</v>
      </c>
    </row>
    <row r="236" spans="2:15" x14ac:dyDescent="0.25">
      <c r="B236" s="125" t="s">
        <v>79</v>
      </c>
      <c r="C236" s="126">
        <v>0</v>
      </c>
      <c r="D236" s="126">
        <v>0</v>
      </c>
      <c r="E236" s="126">
        <v>0</v>
      </c>
      <c r="F236" s="126">
        <v>0</v>
      </c>
      <c r="G236" s="126">
        <v>0</v>
      </c>
      <c r="H236" s="126">
        <v>0</v>
      </c>
      <c r="I236" s="126">
        <v>1</v>
      </c>
      <c r="J236" s="126">
        <v>0</v>
      </c>
      <c r="K236" s="126">
        <v>0</v>
      </c>
      <c r="L236" s="127">
        <v>1</v>
      </c>
      <c r="M236" s="127">
        <v>0</v>
      </c>
      <c r="N236" s="127">
        <v>2</v>
      </c>
      <c r="O236" s="126">
        <f>SUM(C236:N236)</f>
        <v>4</v>
      </c>
    </row>
    <row r="237" spans="2:15" x14ac:dyDescent="0.25">
      <c r="B237" s="125" t="s">
        <v>80</v>
      </c>
      <c r="C237" s="126">
        <v>0</v>
      </c>
      <c r="D237" s="126">
        <v>1</v>
      </c>
      <c r="E237" s="126">
        <v>2</v>
      </c>
      <c r="F237" s="126">
        <v>0</v>
      </c>
      <c r="G237" s="126">
        <v>2</v>
      </c>
      <c r="H237" s="126">
        <v>1</v>
      </c>
      <c r="I237" s="126">
        <v>0</v>
      </c>
      <c r="J237" s="126">
        <v>2</v>
      </c>
      <c r="K237" s="126">
        <v>0</v>
      </c>
      <c r="L237" s="127">
        <v>0</v>
      </c>
      <c r="M237" s="127">
        <v>1</v>
      </c>
      <c r="N237" s="127">
        <v>1</v>
      </c>
      <c r="O237" s="126">
        <f>SUM(C237:N237)</f>
        <v>10</v>
      </c>
    </row>
    <row r="238" spans="2:15" x14ac:dyDescent="0.25">
      <c r="B238" s="125" t="s">
        <v>31</v>
      </c>
      <c r="C238" s="126"/>
      <c r="D238" s="126">
        <v>0</v>
      </c>
      <c r="E238" s="126">
        <v>0</v>
      </c>
      <c r="F238" s="126">
        <v>0</v>
      </c>
      <c r="G238" s="126">
        <v>0</v>
      </c>
      <c r="H238" s="126">
        <v>0</v>
      </c>
      <c r="I238" s="126">
        <v>0</v>
      </c>
      <c r="J238" s="126">
        <v>0</v>
      </c>
      <c r="K238" s="126">
        <v>0</v>
      </c>
      <c r="L238" s="127">
        <v>0</v>
      </c>
      <c r="M238" s="127">
        <v>0</v>
      </c>
      <c r="N238" s="127"/>
      <c r="O238" s="126">
        <f>SUM(C238:N238)</f>
        <v>0</v>
      </c>
    </row>
    <row r="239" spans="2:15" x14ac:dyDescent="0.25">
      <c r="B239" s="1"/>
      <c r="C239" s="139"/>
      <c r="D239" s="139"/>
      <c r="E239" s="139"/>
      <c r="F239" s="139"/>
      <c r="G239" s="139"/>
      <c r="H239" s="139"/>
      <c r="I239" s="139"/>
      <c r="J239" s="139"/>
      <c r="K239" s="139"/>
      <c r="L239" s="140"/>
      <c r="M239" s="140"/>
      <c r="N239" s="140"/>
      <c r="O239" s="139"/>
    </row>
    <row r="240" spans="2:15" ht="15.75" x14ac:dyDescent="0.25">
      <c r="B240" s="141"/>
      <c r="C240" s="167"/>
      <c r="D240" s="167"/>
      <c r="E240" s="167"/>
      <c r="F240" s="167"/>
      <c r="G240" s="167"/>
      <c r="H240" s="167"/>
      <c r="I240" s="167"/>
      <c r="J240" s="167"/>
      <c r="K240" s="139"/>
      <c r="L240" s="140"/>
      <c r="M240" s="140"/>
      <c r="N240" s="140"/>
      <c r="O240" s="139"/>
    </row>
    <row r="241" spans="2:15" ht="15.75" x14ac:dyDescent="0.25">
      <c r="B241" s="141"/>
      <c r="C241" s="190" t="s">
        <v>96</v>
      </c>
      <c r="D241" s="190"/>
      <c r="E241" s="190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</row>
    <row r="242" spans="2:15" x14ac:dyDescent="0.25">
      <c r="B242" s="175" t="s">
        <v>107</v>
      </c>
      <c r="C242" s="139"/>
      <c r="D242" s="172"/>
      <c r="E242" s="139"/>
      <c r="F242" s="139"/>
      <c r="G242" s="139"/>
      <c r="H242" s="139"/>
      <c r="I242" s="139"/>
      <c r="J242" s="139"/>
      <c r="K242" s="139"/>
      <c r="L242" s="140"/>
      <c r="M242" s="140"/>
      <c r="N242" s="163"/>
      <c r="O242" s="139"/>
    </row>
    <row r="243" spans="2:15" x14ac:dyDescent="0.25">
      <c r="B243" s="1"/>
      <c r="C243" s="123" t="s">
        <v>1</v>
      </c>
      <c r="D243" s="173" t="s">
        <v>2</v>
      </c>
      <c r="E243" s="123" t="s">
        <v>3</v>
      </c>
      <c r="F243" s="123" t="s">
        <v>4</v>
      </c>
      <c r="G243" s="123" t="s">
        <v>5</v>
      </c>
      <c r="H243" s="123" t="s">
        <v>6</v>
      </c>
      <c r="I243" s="123" t="s">
        <v>7</v>
      </c>
      <c r="J243" s="173" t="s">
        <v>8</v>
      </c>
      <c r="K243" s="173" t="s">
        <v>9</v>
      </c>
      <c r="L243" s="174" t="s">
        <v>10</v>
      </c>
      <c r="M243" s="174" t="s">
        <v>11</v>
      </c>
      <c r="N243" s="174" t="s">
        <v>12</v>
      </c>
      <c r="O243" s="123" t="s">
        <v>13</v>
      </c>
    </row>
    <row r="244" spans="2:15" x14ac:dyDescent="0.25">
      <c r="B244" s="125" t="s">
        <v>14</v>
      </c>
      <c r="C244" s="126">
        <v>11</v>
      </c>
      <c r="D244" s="126">
        <v>11</v>
      </c>
      <c r="E244" s="126">
        <v>11</v>
      </c>
      <c r="F244" s="126">
        <v>11</v>
      </c>
      <c r="G244" s="126">
        <v>11</v>
      </c>
      <c r="H244" s="126">
        <v>11</v>
      </c>
      <c r="I244" s="126">
        <v>11</v>
      </c>
      <c r="J244" s="126">
        <v>11</v>
      </c>
      <c r="K244" s="126">
        <v>11</v>
      </c>
      <c r="L244" s="127">
        <v>11</v>
      </c>
      <c r="M244" s="127">
        <v>11</v>
      </c>
      <c r="N244" s="127">
        <v>11</v>
      </c>
      <c r="O244" s="126">
        <v>11</v>
      </c>
    </row>
    <row r="245" spans="2:15" x14ac:dyDescent="0.25">
      <c r="B245" s="125" t="s">
        <v>15</v>
      </c>
      <c r="C245" s="126">
        <v>34</v>
      </c>
      <c r="D245" s="126">
        <v>44</v>
      </c>
      <c r="E245" s="126">
        <v>50</v>
      </c>
      <c r="F245" s="126">
        <v>44</v>
      </c>
      <c r="G245" s="126">
        <v>34</v>
      </c>
      <c r="H245" s="126">
        <v>29</v>
      </c>
      <c r="I245" s="126">
        <v>37</v>
      </c>
      <c r="J245" s="126">
        <v>49</v>
      </c>
      <c r="K245" s="126">
        <v>24</v>
      </c>
      <c r="L245" s="127">
        <v>40</v>
      </c>
      <c r="M245" s="127">
        <v>33</v>
      </c>
      <c r="N245" s="127">
        <v>27</v>
      </c>
      <c r="O245" s="126">
        <f t="shared" ref="O245:O250" si="101">SUM(C245:N245)</f>
        <v>445</v>
      </c>
    </row>
    <row r="246" spans="2:15" x14ac:dyDescent="0.25">
      <c r="B246" s="125" t="s">
        <v>16</v>
      </c>
      <c r="C246" s="126">
        <v>30</v>
      </c>
      <c r="D246" s="126">
        <v>43</v>
      </c>
      <c r="E246" s="126">
        <v>50</v>
      </c>
      <c r="F246" s="126">
        <v>39</v>
      </c>
      <c r="G246" s="126">
        <v>41</v>
      </c>
      <c r="H246" s="126">
        <v>25</v>
      </c>
      <c r="I246" s="126">
        <v>37</v>
      </c>
      <c r="J246" s="126">
        <v>48</v>
      </c>
      <c r="K246" s="126">
        <v>24</v>
      </c>
      <c r="L246" s="127">
        <v>39</v>
      </c>
      <c r="M246" s="127">
        <v>38</v>
      </c>
      <c r="N246" s="127">
        <v>22</v>
      </c>
      <c r="O246" s="126">
        <f t="shared" si="101"/>
        <v>436</v>
      </c>
    </row>
    <row r="247" spans="2:15" x14ac:dyDescent="0.25">
      <c r="B247" s="125" t="s">
        <v>17</v>
      </c>
      <c r="C247" s="126">
        <f>31*11</f>
        <v>341</v>
      </c>
      <c r="D247" s="126">
        <f>28*11</f>
        <v>308</v>
      </c>
      <c r="E247" s="126">
        <f>11*31</f>
        <v>341</v>
      </c>
      <c r="F247" s="126">
        <f>11*30</f>
        <v>330</v>
      </c>
      <c r="G247" s="126">
        <f>31*11</f>
        <v>341</v>
      </c>
      <c r="H247" s="126">
        <f>30*11</f>
        <v>330</v>
      </c>
      <c r="I247" s="126">
        <f>31*11</f>
        <v>341</v>
      </c>
      <c r="J247" s="126">
        <f>31*11</f>
        <v>341</v>
      </c>
      <c r="K247" s="126">
        <f>30*11</f>
        <v>330</v>
      </c>
      <c r="L247" s="127">
        <f>31*11</f>
        <v>341</v>
      </c>
      <c r="M247" s="127">
        <f>30*11</f>
        <v>330</v>
      </c>
      <c r="N247" s="127">
        <f>31*11</f>
        <v>341</v>
      </c>
      <c r="O247" s="126">
        <f t="shared" si="101"/>
        <v>4015</v>
      </c>
    </row>
    <row r="248" spans="2:15" x14ac:dyDescent="0.25">
      <c r="B248" s="125" t="s">
        <v>18</v>
      </c>
      <c r="C248" s="126">
        <v>125</v>
      </c>
      <c r="D248" s="126">
        <v>134</v>
      </c>
      <c r="E248" s="126">
        <v>206</v>
      </c>
      <c r="F248" s="126">
        <v>145</v>
      </c>
      <c r="G248" s="126">
        <v>165</v>
      </c>
      <c r="H248" s="126">
        <v>72</v>
      </c>
      <c r="I248" s="126">
        <v>140</v>
      </c>
      <c r="J248" s="126">
        <v>157</v>
      </c>
      <c r="K248" s="126">
        <v>157</v>
      </c>
      <c r="L248" s="127">
        <v>174</v>
      </c>
      <c r="M248" s="127">
        <v>126</v>
      </c>
      <c r="N248" s="127">
        <v>85</v>
      </c>
      <c r="O248" s="126">
        <f t="shared" si="101"/>
        <v>1686</v>
      </c>
    </row>
    <row r="249" spans="2:15" x14ac:dyDescent="0.25">
      <c r="B249" s="125" t="s">
        <v>19</v>
      </c>
      <c r="C249" s="126">
        <v>137</v>
      </c>
      <c r="D249" s="126">
        <v>193</v>
      </c>
      <c r="E249" s="126">
        <v>279</v>
      </c>
      <c r="F249" s="126">
        <v>151</v>
      </c>
      <c r="G249" s="126">
        <v>198</v>
      </c>
      <c r="H249" s="126">
        <v>72</v>
      </c>
      <c r="I249" s="126">
        <v>170</v>
      </c>
      <c r="J249" s="126">
        <v>166</v>
      </c>
      <c r="K249" s="126">
        <v>209</v>
      </c>
      <c r="L249" s="127">
        <v>228</v>
      </c>
      <c r="M249" s="127">
        <v>144</v>
      </c>
      <c r="N249" s="127">
        <v>85</v>
      </c>
      <c r="O249" s="126">
        <f t="shared" si="101"/>
        <v>2032</v>
      </c>
    </row>
    <row r="250" spans="2:15" x14ac:dyDescent="0.25">
      <c r="B250" s="178" t="s">
        <v>91</v>
      </c>
      <c r="C250" s="126">
        <v>95</v>
      </c>
      <c r="D250" s="126">
        <v>109</v>
      </c>
      <c r="E250" s="126">
        <v>157</v>
      </c>
      <c r="F250" s="126">
        <v>272</v>
      </c>
      <c r="G250" s="126">
        <f>48+37</f>
        <v>85</v>
      </c>
      <c r="H250" s="126">
        <v>87</v>
      </c>
      <c r="I250" s="126">
        <v>78</v>
      </c>
      <c r="J250" s="126">
        <v>80</v>
      </c>
      <c r="K250" s="126">
        <v>112</v>
      </c>
      <c r="L250" s="127">
        <v>172</v>
      </c>
      <c r="M250" s="127">
        <v>70</v>
      </c>
      <c r="N250" s="127">
        <v>114</v>
      </c>
      <c r="O250" s="126">
        <f t="shared" si="101"/>
        <v>1431</v>
      </c>
    </row>
    <row r="251" spans="2:15" x14ac:dyDescent="0.25">
      <c r="B251" s="125" t="s">
        <v>74</v>
      </c>
      <c r="C251" s="131">
        <f>C248/C246</f>
        <v>4.166666666666667</v>
      </c>
      <c r="D251" s="131">
        <f>D248/D246</f>
        <v>3.1162790697674421</v>
      </c>
      <c r="E251" s="131">
        <f t="shared" ref="E251:N251" si="102">E248/E246</f>
        <v>4.12</v>
      </c>
      <c r="F251" s="131">
        <f t="shared" si="102"/>
        <v>3.7179487179487181</v>
      </c>
      <c r="G251" s="131">
        <f t="shared" si="102"/>
        <v>4.024390243902439</v>
      </c>
      <c r="H251" s="131">
        <f t="shared" si="102"/>
        <v>2.88</v>
      </c>
      <c r="I251" s="131">
        <f t="shared" si="102"/>
        <v>3.7837837837837838</v>
      </c>
      <c r="J251" s="131">
        <f t="shared" si="102"/>
        <v>3.2708333333333335</v>
      </c>
      <c r="K251" s="131">
        <f t="shared" si="102"/>
        <v>6.541666666666667</v>
      </c>
      <c r="L251" s="132">
        <f t="shared" si="102"/>
        <v>4.4615384615384617</v>
      </c>
      <c r="M251" s="132">
        <f t="shared" si="102"/>
        <v>3.3157894736842106</v>
      </c>
      <c r="N251" s="132">
        <f t="shared" si="102"/>
        <v>3.8636363636363638</v>
      </c>
      <c r="O251" s="131">
        <f>O248/O246</f>
        <v>3.8669724770642202</v>
      </c>
    </row>
    <row r="252" spans="2:15" x14ac:dyDescent="0.25">
      <c r="B252" s="125" t="s">
        <v>75</v>
      </c>
      <c r="C252" s="131">
        <f>C249/C246</f>
        <v>4.5666666666666664</v>
      </c>
      <c r="D252" s="131">
        <f>D249/D246</f>
        <v>4.4883720930232558</v>
      </c>
      <c r="E252" s="131">
        <f t="shared" ref="E252:O252" si="103">E249/E246</f>
        <v>5.58</v>
      </c>
      <c r="F252" s="131">
        <f t="shared" si="103"/>
        <v>3.8717948717948718</v>
      </c>
      <c r="G252" s="131">
        <f t="shared" si="103"/>
        <v>4.8292682926829267</v>
      </c>
      <c r="H252" s="131">
        <f t="shared" si="103"/>
        <v>2.88</v>
      </c>
      <c r="I252" s="131">
        <f t="shared" si="103"/>
        <v>4.5945945945945947</v>
      </c>
      <c r="J252" s="131">
        <f t="shared" si="103"/>
        <v>3.4583333333333335</v>
      </c>
      <c r="K252" s="131">
        <f t="shared" si="103"/>
        <v>8.7083333333333339</v>
      </c>
      <c r="L252" s="132">
        <f t="shared" si="103"/>
        <v>5.8461538461538458</v>
      </c>
      <c r="M252" s="132">
        <f t="shared" si="103"/>
        <v>3.7894736842105261</v>
      </c>
      <c r="N252" s="132">
        <f t="shared" si="103"/>
        <v>3.8636363636363638</v>
      </c>
      <c r="O252" s="131">
        <f t="shared" si="103"/>
        <v>4.6605504587155959</v>
      </c>
    </row>
    <row r="253" spans="2:15" x14ac:dyDescent="0.25">
      <c r="B253" s="128" t="s">
        <v>102</v>
      </c>
      <c r="C253" s="131">
        <f t="shared" ref="C253:O253" si="104">C248/C247*100</f>
        <v>36.656891495601172</v>
      </c>
      <c r="D253" s="131">
        <f t="shared" si="104"/>
        <v>43.506493506493506</v>
      </c>
      <c r="E253" s="131">
        <f t="shared" si="104"/>
        <v>60.410557184750736</v>
      </c>
      <c r="F253" s="131">
        <f t="shared" si="104"/>
        <v>43.939393939393938</v>
      </c>
      <c r="G253" s="131">
        <f t="shared" si="104"/>
        <v>48.387096774193552</v>
      </c>
      <c r="H253" s="131">
        <f t="shared" si="104"/>
        <v>21.818181818181817</v>
      </c>
      <c r="I253" s="131">
        <f t="shared" si="104"/>
        <v>41.055718475073313</v>
      </c>
      <c r="J253" s="131">
        <f t="shared" si="104"/>
        <v>46.041055718475072</v>
      </c>
      <c r="K253" s="131">
        <f t="shared" si="104"/>
        <v>47.575757575757578</v>
      </c>
      <c r="L253" s="132">
        <f t="shared" si="104"/>
        <v>51.02639296187683</v>
      </c>
      <c r="M253" s="132">
        <f t="shared" si="104"/>
        <v>38.181818181818187</v>
      </c>
      <c r="N253" s="132">
        <f t="shared" si="104"/>
        <v>24.926686217008797</v>
      </c>
      <c r="O253" s="131">
        <f t="shared" si="104"/>
        <v>41.992528019925281</v>
      </c>
    </row>
    <row r="254" spans="2:15" x14ac:dyDescent="0.25">
      <c r="B254" s="125" t="s">
        <v>77</v>
      </c>
      <c r="C254" s="131">
        <f>SUM(C246/C244)</f>
        <v>2.7272727272727271</v>
      </c>
      <c r="D254" s="131">
        <f t="shared" ref="D254:O254" si="105">SUM(D246/D244)</f>
        <v>3.9090909090909092</v>
      </c>
      <c r="E254" s="131">
        <f t="shared" si="105"/>
        <v>4.5454545454545459</v>
      </c>
      <c r="F254" s="131">
        <f t="shared" si="105"/>
        <v>3.5454545454545454</v>
      </c>
      <c r="G254" s="131">
        <f t="shared" si="105"/>
        <v>3.7272727272727271</v>
      </c>
      <c r="H254" s="131">
        <f t="shared" si="105"/>
        <v>2.2727272727272729</v>
      </c>
      <c r="I254" s="131">
        <f t="shared" si="105"/>
        <v>3.3636363636363638</v>
      </c>
      <c r="J254" s="131">
        <f t="shared" si="105"/>
        <v>4.3636363636363633</v>
      </c>
      <c r="K254" s="131">
        <f t="shared" si="105"/>
        <v>2.1818181818181817</v>
      </c>
      <c r="L254" s="132">
        <f t="shared" si="105"/>
        <v>3.5454545454545454</v>
      </c>
      <c r="M254" s="132">
        <f t="shared" si="105"/>
        <v>3.4545454545454546</v>
      </c>
      <c r="N254" s="132">
        <f t="shared" si="105"/>
        <v>2</v>
      </c>
      <c r="O254" s="131">
        <f t="shared" si="105"/>
        <v>39.636363636363633</v>
      </c>
    </row>
    <row r="255" spans="2:15" x14ac:dyDescent="0.25">
      <c r="B255" s="125" t="s">
        <v>24</v>
      </c>
      <c r="C255" s="131">
        <f t="shared" ref="C255:N255" si="106">(C247-C248)/C246</f>
        <v>7.2</v>
      </c>
      <c r="D255" s="131">
        <f t="shared" si="106"/>
        <v>4.0465116279069768</v>
      </c>
      <c r="E255" s="131">
        <f t="shared" si="106"/>
        <v>2.7</v>
      </c>
      <c r="F255" s="131">
        <f t="shared" si="106"/>
        <v>4.7435897435897436</v>
      </c>
      <c r="G255" s="131">
        <f t="shared" si="106"/>
        <v>4.2926829268292686</v>
      </c>
      <c r="H255" s="131">
        <f t="shared" si="106"/>
        <v>10.32</v>
      </c>
      <c r="I255" s="131">
        <f t="shared" si="106"/>
        <v>5.4324324324324325</v>
      </c>
      <c r="J255" s="131">
        <f t="shared" si="106"/>
        <v>3.8333333333333335</v>
      </c>
      <c r="K255" s="131">
        <f t="shared" si="106"/>
        <v>7.208333333333333</v>
      </c>
      <c r="L255" s="132">
        <f t="shared" si="106"/>
        <v>4.2820512820512819</v>
      </c>
      <c r="M255" s="132">
        <f t="shared" si="106"/>
        <v>5.3684210526315788</v>
      </c>
      <c r="N255" s="132">
        <f t="shared" si="106"/>
        <v>11.636363636363637</v>
      </c>
      <c r="O255" s="126">
        <v>1.57</v>
      </c>
    </row>
    <row r="256" spans="2:15" x14ac:dyDescent="0.25">
      <c r="B256" s="178" t="s">
        <v>103</v>
      </c>
      <c r="C256" s="131">
        <f>C250/C247*100</f>
        <v>27.859237536656888</v>
      </c>
      <c r="D256" s="131">
        <f t="shared" ref="D256:O256" si="107">D250/D247*100</f>
        <v>35.38961038961039</v>
      </c>
      <c r="E256" s="131">
        <f t="shared" si="107"/>
        <v>46.041055718475072</v>
      </c>
      <c r="F256" s="131">
        <f t="shared" si="107"/>
        <v>82.424242424242422</v>
      </c>
      <c r="G256" s="131">
        <f t="shared" si="107"/>
        <v>24.926686217008797</v>
      </c>
      <c r="H256" s="131">
        <f>H250/H247*100</f>
        <v>26.36363636363636</v>
      </c>
      <c r="I256" s="131">
        <f t="shared" si="107"/>
        <v>22.873900293255129</v>
      </c>
      <c r="J256" s="131">
        <f t="shared" si="107"/>
        <v>23.460410557184751</v>
      </c>
      <c r="K256" s="131">
        <f t="shared" si="107"/>
        <v>33.939393939393945</v>
      </c>
      <c r="L256" s="132">
        <f t="shared" si="107"/>
        <v>50.439882697947212</v>
      </c>
      <c r="M256" s="132">
        <f t="shared" si="107"/>
        <v>21.212121212121211</v>
      </c>
      <c r="N256" s="132">
        <f t="shared" si="107"/>
        <v>33.431085043988269</v>
      </c>
      <c r="O256" s="131">
        <f t="shared" si="107"/>
        <v>35.641344956413448</v>
      </c>
    </row>
    <row r="257" spans="2:15" x14ac:dyDescent="0.25">
      <c r="B257" s="125" t="s">
        <v>26</v>
      </c>
      <c r="C257" s="126">
        <f>SUM(C258:C259)</f>
        <v>0</v>
      </c>
      <c r="D257" s="126">
        <f t="shared" ref="D257:N257" si="108">SUM(D258:D259)</f>
        <v>0</v>
      </c>
      <c r="E257" s="126">
        <f t="shared" si="108"/>
        <v>0</v>
      </c>
      <c r="F257" s="126">
        <f t="shared" si="108"/>
        <v>1</v>
      </c>
      <c r="G257" s="126">
        <f t="shared" si="108"/>
        <v>0</v>
      </c>
      <c r="H257" s="126">
        <f t="shared" si="108"/>
        <v>0</v>
      </c>
      <c r="I257" s="126">
        <f t="shared" si="108"/>
        <v>0</v>
      </c>
      <c r="J257" s="126">
        <f t="shared" si="108"/>
        <v>0</v>
      </c>
      <c r="K257" s="126">
        <f t="shared" si="108"/>
        <v>0</v>
      </c>
      <c r="L257" s="127">
        <f t="shared" si="108"/>
        <v>0</v>
      </c>
      <c r="M257" s="127">
        <f t="shared" si="108"/>
        <v>0</v>
      </c>
      <c r="N257" s="127">
        <f t="shared" si="108"/>
        <v>0</v>
      </c>
      <c r="O257" s="126">
        <f>SUM(C257:N257)</f>
        <v>1</v>
      </c>
    </row>
    <row r="258" spans="2:15" x14ac:dyDescent="0.25">
      <c r="B258" s="125" t="s">
        <v>79</v>
      </c>
      <c r="C258" s="126">
        <v>0</v>
      </c>
      <c r="D258" s="126">
        <v>0</v>
      </c>
      <c r="E258" s="126">
        <v>0</v>
      </c>
      <c r="F258" s="126">
        <v>1</v>
      </c>
      <c r="G258" s="126">
        <v>0</v>
      </c>
      <c r="H258" s="126">
        <v>0</v>
      </c>
      <c r="I258" s="126">
        <v>0</v>
      </c>
      <c r="J258" s="126">
        <v>0</v>
      </c>
      <c r="K258" s="126">
        <v>0</v>
      </c>
      <c r="L258" s="127">
        <v>0</v>
      </c>
      <c r="M258" s="127">
        <v>0</v>
      </c>
      <c r="N258" s="127">
        <v>0</v>
      </c>
      <c r="O258" s="126">
        <f>SUM(C258:N258)</f>
        <v>1</v>
      </c>
    </row>
    <row r="259" spans="2:15" x14ac:dyDescent="0.25">
      <c r="B259" s="125" t="s">
        <v>80</v>
      </c>
      <c r="C259" s="126">
        <v>0</v>
      </c>
      <c r="D259" s="126">
        <v>0</v>
      </c>
      <c r="E259" s="126">
        <v>0</v>
      </c>
      <c r="F259" s="126">
        <v>0</v>
      </c>
      <c r="G259" s="126">
        <v>0</v>
      </c>
      <c r="H259" s="126">
        <v>0</v>
      </c>
      <c r="I259" s="126">
        <v>0</v>
      </c>
      <c r="J259" s="126">
        <v>0</v>
      </c>
      <c r="K259" s="126">
        <v>0</v>
      </c>
      <c r="L259" s="127">
        <v>0</v>
      </c>
      <c r="M259" s="127">
        <v>0</v>
      </c>
      <c r="N259" s="127">
        <v>0</v>
      </c>
      <c r="O259" s="126">
        <f>SUM(C259:N259)</f>
        <v>0</v>
      </c>
    </row>
    <row r="260" spans="2:15" x14ac:dyDescent="0.25">
      <c r="B260" s="125" t="s">
        <v>31</v>
      </c>
      <c r="C260" s="126">
        <v>0</v>
      </c>
      <c r="D260" s="126">
        <v>0</v>
      </c>
      <c r="E260" s="126">
        <v>0</v>
      </c>
      <c r="F260" s="126">
        <v>0</v>
      </c>
      <c r="G260" s="126">
        <v>0</v>
      </c>
      <c r="H260" s="126">
        <v>0</v>
      </c>
      <c r="I260" s="126">
        <v>0</v>
      </c>
      <c r="J260" s="126">
        <v>0</v>
      </c>
      <c r="K260" s="126">
        <v>0</v>
      </c>
      <c r="L260" s="127">
        <v>0</v>
      </c>
      <c r="M260" s="127">
        <v>0</v>
      </c>
      <c r="N260" s="127"/>
      <c r="O260" s="126">
        <f>SUM(C260:N260)</f>
        <v>0</v>
      </c>
    </row>
  </sheetData>
  <mergeCells count="10">
    <mergeCell ref="B2:O2"/>
    <mergeCell ref="B3:O3"/>
    <mergeCell ref="B45:O45"/>
    <mergeCell ref="C69:L69"/>
    <mergeCell ref="D91:K91"/>
    <mergeCell ref="D219:K219"/>
    <mergeCell ref="C241:O241"/>
    <mergeCell ref="B113:O113"/>
    <mergeCell ref="D135:L135"/>
    <mergeCell ref="C157:J15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54"/>
  <sheetViews>
    <sheetView topLeftCell="A13" workbookViewId="0">
      <selection activeCell="F17" sqref="F17"/>
    </sheetView>
  </sheetViews>
  <sheetFormatPr baseColWidth="10" defaultRowHeight="15" x14ac:dyDescent="0.25"/>
  <cols>
    <col min="1" max="1" width="3.140625" customWidth="1"/>
    <col min="2" max="2" width="33" bestFit="1" customWidth="1"/>
    <col min="3" max="14" width="10.5703125" customWidth="1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" thickBot="1" x14ac:dyDescent="0.3">
      <c r="A2" s="1"/>
      <c r="B2" s="1"/>
      <c r="C2" s="196" t="s">
        <v>69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6">
        <f>+[1]INICIO!M4</f>
        <v>2015</v>
      </c>
      <c r="O2" s="198"/>
    </row>
    <row r="3" spans="1:15" ht="15.75" thickBot="1" x14ac:dyDescent="0.3">
      <c r="A3" s="1"/>
      <c r="B3" s="1"/>
      <c r="C3" s="39">
        <v>31</v>
      </c>
      <c r="D3" s="39">
        <v>28</v>
      </c>
      <c r="E3" s="39">
        <v>31</v>
      </c>
      <c r="F3" s="39">
        <v>30</v>
      </c>
      <c r="G3" s="39">
        <v>31</v>
      </c>
      <c r="H3" s="39">
        <v>30</v>
      </c>
      <c r="I3" s="39">
        <v>31</v>
      </c>
      <c r="J3" s="39">
        <v>31</v>
      </c>
      <c r="K3" s="39">
        <v>30</v>
      </c>
      <c r="L3" s="39">
        <v>31</v>
      </c>
      <c r="M3" s="39">
        <v>30</v>
      </c>
      <c r="N3" s="39">
        <v>31</v>
      </c>
      <c r="O3" s="86">
        <f>+O44+O68+O90+O112+O134+O156+O191</f>
        <v>176</v>
      </c>
    </row>
    <row r="4" spans="1:15" ht="15.75" thickBot="1" x14ac:dyDescent="0.3">
      <c r="A4" s="1"/>
      <c r="B4" s="5"/>
      <c r="C4" s="83" t="s">
        <v>1</v>
      </c>
      <c r="D4" s="84" t="s">
        <v>2</v>
      </c>
      <c r="E4" s="84" t="s">
        <v>3</v>
      </c>
      <c r="F4" s="84" t="s">
        <v>4</v>
      </c>
      <c r="G4" s="84" t="s">
        <v>5</v>
      </c>
      <c r="H4" s="84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5" t="s">
        <v>12</v>
      </c>
      <c r="O4" s="19" t="s">
        <v>13</v>
      </c>
    </row>
    <row r="5" spans="1:15" ht="15.75" thickBot="1" x14ac:dyDescent="0.3">
      <c r="A5" s="1"/>
      <c r="B5" s="59" t="s">
        <v>14</v>
      </c>
      <c r="C5" s="63">
        <f t="shared" ref="C5:N5" si="0">+C46+C70+C92+C114+C136+C158+C193</f>
        <v>166</v>
      </c>
      <c r="D5" s="72">
        <f t="shared" si="0"/>
        <v>165</v>
      </c>
      <c r="E5" s="72">
        <f t="shared" si="0"/>
        <v>165</v>
      </c>
      <c r="F5" s="72">
        <f t="shared" si="0"/>
        <v>163</v>
      </c>
      <c r="G5" s="72">
        <f t="shared" si="0"/>
        <v>164</v>
      </c>
      <c r="H5" s="72">
        <f t="shared" si="0"/>
        <v>165</v>
      </c>
      <c r="I5" s="72">
        <f t="shared" si="0"/>
        <v>164</v>
      </c>
      <c r="J5" s="72">
        <f t="shared" si="0"/>
        <v>168</v>
      </c>
      <c r="K5" s="72">
        <f t="shared" si="0"/>
        <v>167</v>
      </c>
      <c r="L5" s="72">
        <f t="shared" si="0"/>
        <v>164</v>
      </c>
      <c r="M5" s="72">
        <f t="shared" si="0"/>
        <v>164</v>
      </c>
      <c r="N5" s="108">
        <f t="shared" si="0"/>
        <v>164</v>
      </c>
      <c r="O5" s="109">
        <f>+AVERAGE(C5:N5)</f>
        <v>164.91666666666666</v>
      </c>
    </row>
    <row r="6" spans="1:15" ht="15.75" thickBot="1" x14ac:dyDescent="0.3">
      <c r="A6" s="1"/>
      <c r="B6" s="60" t="s">
        <v>70</v>
      </c>
      <c r="C6" s="20">
        <f t="shared" ref="C6:N6" si="1">+C47+C71+C93+C115+C137+C159+C194</f>
        <v>742</v>
      </c>
      <c r="D6" s="21">
        <f t="shared" si="1"/>
        <v>666</v>
      </c>
      <c r="E6" s="21">
        <f t="shared" si="1"/>
        <v>750</v>
      </c>
      <c r="F6" s="21">
        <f t="shared" si="1"/>
        <v>733</v>
      </c>
      <c r="G6" s="21">
        <f t="shared" si="1"/>
        <v>811</v>
      </c>
      <c r="H6" s="21">
        <f t="shared" si="1"/>
        <v>710</v>
      </c>
      <c r="I6" s="21">
        <f t="shared" si="1"/>
        <v>698</v>
      </c>
      <c r="J6" s="21">
        <f t="shared" si="1"/>
        <v>727</v>
      </c>
      <c r="K6" s="21">
        <f t="shared" si="1"/>
        <v>707</v>
      </c>
      <c r="L6" s="21">
        <f t="shared" si="1"/>
        <v>745</v>
      </c>
      <c r="M6" s="21">
        <f t="shared" si="1"/>
        <v>672</v>
      </c>
      <c r="N6" s="110">
        <f t="shared" si="1"/>
        <v>782</v>
      </c>
      <c r="O6" s="111">
        <f t="shared" ref="O6:O37" si="2">+SUM(C6:N6)</f>
        <v>8743</v>
      </c>
    </row>
    <row r="7" spans="1:15" ht="15.75" thickBot="1" x14ac:dyDescent="0.3">
      <c r="A7" s="1"/>
      <c r="B7" s="60" t="s">
        <v>16</v>
      </c>
      <c r="C7" s="20">
        <f t="shared" ref="C7:N7" si="3">+C48+C72+C94+C116+C138+C160+C195</f>
        <v>708</v>
      </c>
      <c r="D7" s="21">
        <f t="shared" si="3"/>
        <v>687</v>
      </c>
      <c r="E7" s="21">
        <f t="shared" si="3"/>
        <v>736</v>
      </c>
      <c r="F7" s="21">
        <f t="shared" si="3"/>
        <v>734</v>
      </c>
      <c r="G7" s="21">
        <f t="shared" si="3"/>
        <v>801</v>
      </c>
      <c r="H7" s="21">
        <f t="shared" si="3"/>
        <v>703</v>
      </c>
      <c r="I7" s="21">
        <f t="shared" si="3"/>
        <v>718</v>
      </c>
      <c r="J7" s="21">
        <f t="shared" si="3"/>
        <v>714</v>
      </c>
      <c r="K7" s="21">
        <f t="shared" si="3"/>
        <v>708</v>
      </c>
      <c r="L7" s="21">
        <f t="shared" si="3"/>
        <v>745</v>
      </c>
      <c r="M7" s="21">
        <f t="shared" si="3"/>
        <v>670</v>
      </c>
      <c r="N7" s="110">
        <f t="shared" si="3"/>
        <v>816</v>
      </c>
      <c r="O7" s="111">
        <f t="shared" si="2"/>
        <v>8740</v>
      </c>
    </row>
    <row r="8" spans="1:15" ht="15.75" thickBot="1" x14ac:dyDescent="0.3">
      <c r="A8" s="1"/>
      <c r="B8" s="59" t="s">
        <v>17</v>
      </c>
      <c r="C8" s="64">
        <f t="shared" ref="C8:N8" si="4">+C5*C3</f>
        <v>5146</v>
      </c>
      <c r="D8" s="43">
        <f t="shared" si="4"/>
        <v>4620</v>
      </c>
      <c r="E8" s="43">
        <f t="shared" si="4"/>
        <v>5115</v>
      </c>
      <c r="F8" s="43">
        <f t="shared" si="4"/>
        <v>4890</v>
      </c>
      <c r="G8" s="43">
        <f t="shared" si="4"/>
        <v>5084</v>
      </c>
      <c r="H8" s="43">
        <f t="shared" si="4"/>
        <v>4950</v>
      </c>
      <c r="I8" s="43">
        <f t="shared" si="4"/>
        <v>5084</v>
      </c>
      <c r="J8" s="43">
        <f t="shared" si="4"/>
        <v>5208</v>
      </c>
      <c r="K8" s="43">
        <f t="shared" si="4"/>
        <v>5010</v>
      </c>
      <c r="L8" s="43">
        <f t="shared" si="4"/>
        <v>5084</v>
      </c>
      <c r="M8" s="43">
        <f t="shared" si="4"/>
        <v>4920</v>
      </c>
      <c r="N8" s="112">
        <f t="shared" si="4"/>
        <v>5084</v>
      </c>
      <c r="O8" s="111">
        <f t="shared" si="2"/>
        <v>60195</v>
      </c>
    </row>
    <row r="9" spans="1:15" ht="15.75" thickBot="1" x14ac:dyDescent="0.3">
      <c r="A9" s="1"/>
      <c r="B9" s="59" t="s">
        <v>18</v>
      </c>
      <c r="C9" s="20">
        <f t="shared" ref="C9:N9" si="5">+C50+C74+C96+C118+C140+C162+C197</f>
        <v>2448</v>
      </c>
      <c r="D9" s="21">
        <f t="shared" si="5"/>
        <v>2233</v>
      </c>
      <c r="E9" s="21">
        <f t="shared" si="5"/>
        <v>2498</v>
      </c>
      <c r="F9" s="21">
        <f t="shared" si="5"/>
        <v>2604</v>
      </c>
      <c r="G9" s="21">
        <f t="shared" si="5"/>
        <v>2452</v>
      </c>
      <c r="H9" s="21">
        <f t="shared" si="5"/>
        <v>2335</v>
      </c>
      <c r="I9" s="21">
        <f t="shared" si="5"/>
        <v>2554</v>
      </c>
      <c r="J9" s="21">
        <f t="shared" si="5"/>
        <v>2473</v>
      </c>
      <c r="K9" s="21">
        <f t="shared" si="5"/>
        <v>2374</v>
      </c>
      <c r="L9" s="21">
        <f t="shared" si="5"/>
        <v>2520</v>
      </c>
      <c r="M9" s="21">
        <f t="shared" si="5"/>
        <v>2223</v>
      </c>
      <c r="N9" s="110">
        <f t="shared" si="5"/>
        <v>2431</v>
      </c>
      <c r="O9" s="111">
        <f t="shared" si="2"/>
        <v>29145</v>
      </c>
    </row>
    <row r="10" spans="1:15" ht="15.75" thickBot="1" x14ac:dyDescent="0.3">
      <c r="A10" s="1"/>
      <c r="B10" s="59" t="s">
        <v>19</v>
      </c>
      <c r="C10" s="20">
        <f t="shared" ref="C10:N10" si="6">+C51+C75+C97+C119+C141+C163+C198</f>
        <v>2811</v>
      </c>
      <c r="D10" s="21">
        <f t="shared" si="6"/>
        <v>2869</v>
      </c>
      <c r="E10" s="21">
        <f t="shared" si="6"/>
        <v>3132</v>
      </c>
      <c r="F10" s="21">
        <f t="shared" si="6"/>
        <v>3418</v>
      </c>
      <c r="G10" s="21">
        <f t="shared" si="6"/>
        <v>3438</v>
      </c>
      <c r="H10" s="21">
        <f t="shared" si="6"/>
        <v>2850</v>
      </c>
      <c r="I10" s="21">
        <f t="shared" si="6"/>
        <v>3162</v>
      </c>
      <c r="J10" s="21">
        <f t="shared" si="6"/>
        <v>2941</v>
      </c>
      <c r="K10" s="21">
        <f t="shared" si="6"/>
        <v>2979</v>
      </c>
      <c r="L10" s="21">
        <f t="shared" si="6"/>
        <v>3500</v>
      </c>
      <c r="M10" s="21">
        <f t="shared" si="6"/>
        <v>2617</v>
      </c>
      <c r="N10" s="110">
        <f t="shared" si="6"/>
        <v>3310</v>
      </c>
      <c r="O10" s="111">
        <f t="shared" si="2"/>
        <v>37027</v>
      </c>
    </row>
    <row r="11" spans="1:15" ht="15.75" thickBot="1" x14ac:dyDescent="0.3">
      <c r="A11" s="1"/>
      <c r="B11" s="59" t="s">
        <v>20</v>
      </c>
      <c r="C11" s="79">
        <f t="shared" ref="C11:N11" si="7">+C52+C76+C98+C120+C142+C164+C199</f>
        <v>3277</v>
      </c>
      <c r="D11" s="76">
        <f t="shared" si="7"/>
        <v>2925</v>
      </c>
      <c r="E11" s="76">
        <f t="shared" si="7"/>
        <v>2949</v>
      </c>
      <c r="F11" s="76">
        <f t="shared" si="7"/>
        <v>3161</v>
      </c>
      <c r="G11" s="76">
        <f t="shared" si="7"/>
        <v>3627</v>
      </c>
      <c r="H11" s="76">
        <f t="shared" si="7"/>
        <v>3530</v>
      </c>
      <c r="I11" s="76">
        <f t="shared" si="7"/>
        <v>3593</v>
      </c>
      <c r="J11" s="76">
        <f t="shared" si="7"/>
        <v>3705</v>
      </c>
      <c r="K11" s="76">
        <f t="shared" si="7"/>
        <v>3673</v>
      </c>
      <c r="L11" s="76">
        <f t="shared" si="7"/>
        <v>3647</v>
      </c>
      <c r="M11" s="76">
        <f t="shared" si="7"/>
        <v>3166</v>
      </c>
      <c r="N11" s="113">
        <f t="shared" si="7"/>
        <v>2866</v>
      </c>
      <c r="O11" s="114">
        <f t="shared" si="2"/>
        <v>40119</v>
      </c>
    </row>
    <row r="12" spans="1:15" ht="15.75" thickBot="1" x14ac:dyDescent="0.3">
      <c r="A12" s="1"/>
      <c r="B12" s="61" t="s">
        <v>71</v>
      </c>
      <c r="C12" s="70">
        <f>+IF(C7&gt;0,C9/C7,"")</f>
        <v>3.4576271186440679</v>
      </c>
      <c r="D12" s="71">
        <f t="shared" ref="D12:N12" si="8">+IF(D7&gt;0,D9/D7,"")</f>
        <v>3.2503639010189227</v>
      </c>
      <c r="E12" s="71">
        <f t="shared" si="8"/>
        <v>3.3940217391304346</v>
      </c>
      <c r="F12" s="71">
        <f t="shared" si="8"/>
        <v>3.5476839237057223</v>
      </c>
      <c r="G12" s="71">
        <f t="shared" si="8"/>
        <v>3.0611735330836454</v>
      </c>
      <c r="H12" s="71">
        <f t="shared" si="8"/>
        <v>3.321479374110953</v>
      </c>
      <c r="I12" s="71">
        <f t="shared" si="8"/>
        <v>3.5571030640668524</v>
      </c>
      <c r="J12" s="71">
        <f t="shared" si="8"/>
        <v>3.4635854341736696</v>
      </c>
      <c r="K12" s="71">
        <f t="shared" si="8"/>
        <v>3.3531073446327682</v>
      </c>
      <c r="L12" s="71">
        <f t="shared" si="8"/>
        <v>3.3825503355704698</v>
      </c>
      <c r="M12" s="71">
        <f t="shared" si="8"/>
        <v>3.3179104477611938</v>
      </c>
      <c r="N12" s="73">
        <f t="shared" si="8"/>
        <v>2.9791666666666665</v>
      </c>
      <c r="O12" s="115">
        <f>+IF(O7&gt;0,O9/O7,"")</f>
        <v>3.3346681922196795</v>
      </c>
    </row>
    <row r="13" spans="1:15" ht="15.75" thickBot="1" x14ac:dyDescent="0.3">
      <c r="A13" s="1"/>
      <c r="B13" s="61" t="s">
        <v>21</v>
      </c>
      <c r="C13" s="70">
        <f t="shared" ref="C13:N13" si="9">+IF(C7&gt;0,C9/C7,"")</f>
        <v>3.4576271186440679</v>
      </c>
      <c r="D13" s="71">
        <f t="shared" si="9"/>
        <v>3.2503639010189227</v>
      </c>
      <c r="E13" s="71">
        <f t="shared" si="9"/>
        <v>3.3940217391304346</v>
      </c>
      <c r="F13" s="71">
        <f t="shared" si="9"/>
        <v>3.5476839237057223</v>
      </c>
      <c r="G13" s="71">
        <f t="shared" si="9"/>
        <v>3.0611735330836454</v>
      </c>
      <c r="H13" s="71">
        <f t="shared" si="9"/>
        <v>3.321479374110953</v>
      </c>
      <c r="I13" s="71">
        <f t="shared" si="9"/>
        <v>3.5571030640668524</v>
      </c>
      <c r="J13" s="71">
        <f t="shared" si="9"/>
        <v>3.4635854341736696</v>
      </c>
      <c r="K13" s="71">
        <f t="shared" si="9"/>
        <v>3.3531073446327682</v>
      </c>
      <c r="L13" s="71">
        <f t="shared" si="9"/>
        <v>3.3825503355704698</v>
      </c>
      <c r="M13" s="71">
        <f t="shared" si="9"/>
        <v>3.3179104477611938</v>
      </c>
      <c r="N13" s="73">
        <f t="shared" si="9"/>
        <v>2.9791666666666665</v>
      </c>
      <c r="O13" s="115">
        <f>+IF(O7&gt;0,O9/O7,"")</f>
        <v>3.3346681922196795</v>
      </c>
    </row>
    <row r="14" spans="1:15" ht="15.75" thickBot="1" x14ac:dyDescent="0.3">
      <c r="A14" s="1"/>
      <c r="B14" s="61" t="s">
        <v>72</v>
      </c>
      <c r="C14" s="70">
        <f>+IF(C8&gt;0,(C9/C8)*100,"")</f>
        <v>47.570928876797517</v>
      </c>
      <c r="D14" s="71">
        <f>+IF(D8&gt;0,(D9/D8)*100,"")</f>
        <v>48.333333333333336</v>
      </c>
      <c r="E14" s="71">
        <f>+IF(E8&gt;0,(E9/E8)*100,"")</f>
        <v>48.836754643206255</v>
      </c>
      <c r="F14" s="71">
        <f t="shared" ref="F14:N14" si="10">+IF(F8&gt;0,(F9/F8)*100,"")</f>
        <v>53.25153374233129</v>
      </c>
      <c r="G14" s="71">
        <f t="shared" si="10"/>
        <v>48.229740361919745</v>
      </c>
      <c r="H14" s="71">
        <f t="shared" si="10"/>
        <v>47.171717171717169</v>
      </c>
      <c r="I14" s="71">
        <f t="shared" si="10"/>
        <v>50.236034618410699</v>
      </c>
      <c r="J14" s="71">
        <f t="shared" si="10"/>
        <v>47.484639016897077</v>
      </c>
      <c r="K14" s="71">
        <f t="shared" si="10"/>
        <v>47.385229540918161</v>
      </c>
      <c r="L14" s="71">
        <f t="shared" si="10"/>
        <v>49.567269866247052</v>
      </c>
      <c r="M14" s="71">
        <f t="shared" si="10"/>
        <v>45.182926829268297</v>
      </c>
      <c r="N14" s="73">
        <f t="shared" si="10"/>
        <v>47.816679779701019</v>
      </c>
      <c r="O14" s="115">
        <f>+IF(O8&gt;0,(O9/O8)*100,"")</f>
        <v>48.417642661350612</v>
      </c>
    </row>
    <row r="15" spans="1:15" ht="15.75" thickBot="1" x14ac:dyDescent="0.3">
      <c r="A15" s="1"/>
      <c r="B15" s="61" t="s">
        <v>23</v>
      </c>
      <c r="C15" s="70">
        <f>+IF(C7&gt;0,C7/C5,"")</f>
        <v>4.2650602409638552</v>
      </c>
      <c r="D15" s="71">
        <f t="shared" ref="D15:N15" si="11">+IF(D7&gt;0,D7/D5,"")</f>
        <v>4.163636363636364</v>
      </c>
      <c r="E15" s="71">
        <f t="shared" si="11"/>
        <v>4.4606060606060609</v>
      </c>
      <c r="F15" s="71">
        <f t="shared" si="11"/>
        <v>4.5030674846625764</v>
      </c>
      <c r="G15" s="71">
        <f t="shared" si="11"/>
        <v>4.8841463414634143</v>
      </c>
      <c r="H15" s="71">
        <f t="shared" si="11"/>
        <v>4.2606060606060607</v>
      </c>
      <c r="I15" s="71">
        <f t="shared" si="11"/>
        <v>4.3780487804878048</v>
      </c>
      <c r="J15" s="71">
        <f t="shared" si="11"/>
        <v>4.25</v>
      </c>
      <c r="K15" s="71">
        <f t="shared" si="11"/>
        <v>4.2395209580838324</v>
      </c>
      <c r="L15" s="71">
        <f t="shared" si="11"/>
        <v>4.5426829268292686</v>
      </c>
      <c r="M15" s="71">
        <f t="shared" si="11"/>
        <v>4.0853658536585362</v>
      </c>
      <c r="N15" s="73">
        <f t="shared" si="11"/>
        <v>4.975609756097561</v>
      </c>
      <c r="O15" s="116">
        <f>+IF(O7&gt;0,AVERAGE(C7:N7)/O5,"")</f>
        <v>4.416371905002527</v>
      </c>
    </row>
    <row r="16" spans="1:15" ht="15.75" thickBot="1" x14ac:dyDescent="0.3">
      <c r="A16" s="1"/>
      <c r="B16" s="61" t="s">
        <v>24</v>
      </c>
      <c r="C16" s="70">
        <f>+IF(C7&gt;0,(C8-C11)/C7,"")</f>
        <v>2.6398305084745761</v>
      </c>
      <c r="D16" s="71">
        <f t="shared" ref="D16:N16" si="12">+IF(D7&gt;0,(D8-D11)/D7,"")</f>
        <v>2.4672489082969431</v>
      </c>
      <c r="E16" s="71">
        <f t="shared" si="12"/>
        <v>2.9429347826086958</v>
      </c>
      <c r="F16" s="71">
        <f t="shared" si="12"/>
        <v>2.3555858310626703</v>
      </c>
      <c r="G16" s="71">
        <f t="shared" si="12"/>
        <v>1.818976279650437</v>
      </c>
      <c r="H16" s="71">
        <f t="shared" si="12"/>
        <v>2.0199146514935991</v>
      </c>
      <c r="I16" s="71">
        <f t="shared" si="12"/>
        <v>2.0766016713091924</v>
      </c>
      <c r="J16" s="71">
        <f t="shared" si="12"/>
        <v>2.1050420168067228</v>
      </c>
      <c r="K16" s="71">
        <f t="shared" si="12"/>
        <v>1.8884180790960452</v>
      </c>
      <c r="L16" s="71">
        <f t="shared" si="12"/>
        <v>1.9288590604026845</v>
      </c>
      <c r="M16" s="71">
        <f t="shared" si="12"/>
        <v>2.6179104477611941</v>
      </c>
      <c r="N16" s="73">
        <f t="shared" si="12"/>
        <v>2.7181372549019609</v>
      </c>
      <c r="O16" s="115">
        <f>+IF(O7&gt;0,(O8-O11)/O7,"")</f>
        <v>2.2970251716247141</v>
      </c>
    </row>
    <row r="17" spans="1:15" ht="15.75" thickBot="1" x14ac:dyDescent="0.3">
      <c r="A17" s="1"/>
      <c r="B17" s="61" t="s">
        <v>25</v>
      </c>
      <c r="C17" s="70">
        <f>+IF(C11&gt;0,(C11/C8)*100,"")</f>
        <v>63.680528565876401</v>
      </c>
      <c r="D17" s="71">
        <f t="shared" ref="D17:N17" si="13">+IF(D11&gt;0,(D11/D8)*100,"")</f>
        <v>63.311688311688307</v>
      </c>
      <c r="E17" s="71">
        <f t="shared" si="13"/>
        <v>57.653958944281527</v>
      </c>
      <c r="F17" s="71">
        <f t="shared" si="13"/>
        <v>64.642126789366046</v>
      </c>
      <c r="G17" s="71">
        <f t="shared" si="13"/>
        <v>71.341463414634148</v>
      </c>
      <c r="H17" s="71">
        <f t="shared" si="13"/>
        <v>71.313131313131322</v>
      </c>
      <c r="I17" s="71">
        <f t="shared" si="13"/>
        <v>70.672698662470495</v>
      </c>
      <c r="J17" s="71">
        <f t="shared" si="13"/>
        <v>71.140552995391701</v>
      </c>
      <c r="K17" s="71">
        <f t="shared" si="13"/>
        <v>73.313373253493026</v>
      </c>
      <c r="L17" s="71">
        <f t="shared" si="13"/>
        <v>71.734854445318646</v>
      </c>
      <c r="M17" s="71">
        <f t="shared" si="13"/>
        <v>64.349593495934968</v>
      </c>
      <c r="N17" s="73">
        <f t="shared" si="13"/>
        <v>56.372934697088908</v>
      </c>
      <c r="O17" s="115">
        <f>+IF(O11&gt;0,(O11/O8)*100,"")</f>
        <v>66.648392723648143</v>
      </c>
    </row>
    <row r="18" spans="1:15" ht="15.75" thickBot="1" x14ac:dyDescent="0.3">
      <c r="A18" s="1"/>
      <c r="B18" s="59" t="s">
        <v>26</v>
      </c>
      <c r="C18" s="64">
        <f>+SUM(C19:C20)</f>
        <v>21</v>
      </c>
      <c r="D18" s="43">
        <f t="shared" ref="D18:N18" si="14">+SUM(D19:D20)</f>
        <v>16</v>
      </c>
      <c r="E18" s="43">
        <f t="shared" si="14"/>
        <v>17</v>
      </c>
      <c r="F18" s="43">
        <f t="shared" si="14"/>
        <v>17</v>
      </c>
      <c r="G18" s="43">
        <f t="shared" si="14"/>
        <v>21</v>
      </c>
      <c r="H18" s="43">
        <f t="shared" si="14"/>
        <v>7</v>
      </c>
      <c r="I18" s="43">
        <f t="shared" si="14"/>
        <v>17</v>
      </c>
      <c r="J18" s="43">
        <f t="shared" si="14"/>
        <v>15</v>
      </c>
      <c r="K18" s="43">
        <f t="shared" si="14"/>
        <v>15</v>
      </c>
      <c r="L18" s="43">
        <f t="shared" si="14"/>
        <v>22</v>
      </c>
      <c r="M18" s="43">
        <f t="shared" si="14"/>
        <v>9</v>
      </c>
      <c r="N18" s="112">
        <f t="shared" si="14"/>
        <v>18</v>
      </c>
      <c r="O18" s="111">
        <f t="shared" si="2"/>
        <v>195</v>
      </c>
    </row>
    <row r="19" spans="1:15" ht="15.75" thickBot="1" x14ac:dyDescent="0.3">
      <c r="A19" s="1"/>
      <c r="B19" s="59" t="s">
        <v>27</v>
      </c>
      <c r="C19" s="22">
        <f t="shared" ref="C19:N19" si="15">+C60+C84+C106+C128+C150+C172+C207</f>
        <v>14</v>
      </c>
      <c r="D19" s="23">
        <f t="shared" si="15"/>
        <v>14</v>
      </c>
      <c r="E19" s="23">
        <f t="shared" si="15"/>
        <v>12</v>
      </c>
      <c r="F19" s="23">
        <f t="shared" si="15"/>
        <v>13</v>
      </c>
      <c r="G19" s="23">
        <f t="shared" si="15"/>
        <v>14</v>
      </c>
      <c r="H19" s="23">
        <f t="shared" si="15"/>
        <v>1</v>
      </c>
      <c r="I19" s="23">
        <f t="shared" si="15"/>
        <v>11</v>
      </c>
      <c r="J19" s="23">
        <f t="shared" si="15"/>
        <v>11</v>
      </c>
      <c r="K19" s="23">
        <f t="shared" si="15"/>
        <v>14</v>
      </c>
      <c r="L19" s="23">
        <f t="shared" si="15"/>
        <v>19</v>
      </c>
      <c r="M19" s="23">
        <f t="shared" si="15"/>
        <v>7</v>
      </c>
      <c r="N19" s="117">
        <f t="shared" si="15"/>
        <v>9</v>
      </c>
      <c r="O19" s="111">
        <f t="shared" si="2"/>
        <v>139</v>
      </c>
    </row>
    <row r="20" spans="1:15" ht="15.75" thickBot="1" x14ac:dyDescent="0.3">
      <c r="A20" s="1"/>
      <c r="B20" s="59" t="s">
        <v>28</v>
      </c>
      <c r="C20" s="22">
        <f t="shared" ref="C20:N20" si="16">+C61+C85+C107+C129+C151+C173+C208</f>
        <v>7</v>
      </c>
      <c r="D20" s="23">
        <f t="shared" si="16"/>
        <v>2</v>
      </c>
      <c r="E20" s="23">
        <f t="shared" si="16"/>
        <v>5</v>
      </c>
      <c r="F20" s="23">
        <f t="shared" si="16"/>
        <v>4</v>
      </c>
      <c r="G20" s="23">
        <f t="shared" si="16"/>
        <v>7</v>
      </c>
      <c r="H20" s="23">
        <f t="shared" si="16"/>
        <v>6</v>
      </c>
      <c r="I20" s="23">
        <f t="shared" si="16"/>
        <v>6</v>
      </c>
      <c r="J20" s="23">
        <f t="shared" si="16"/>
        <v>4</v>
      </c>
      <c r="K20" s="23">
        <f t="shared" si="16"/>
        <v>1</v>
      </c>
      <c r="L20" s="23">
        <f t="shared" si="16"/>
        <v>3</v>
      </c>
      <c r="M20" s="23">
        <f t="shared" si="16"/>
        <v>2</v>
      </c>
      <c r="N20" s="117">
        <f t="shared" si="16"/>
        <v>9</v>
      </c>
      <c r="O20" s="111">
        <f t="shared" si="2"/>
        <v>56</v>
      </c>
    </row>
    <row r="21" spans="1:15" ht="15.75" thickBot="1" x14ac:dyDescent="0.3">
      <c r="A21" s="1"/>
      <c r="B21" s="61" t="s">
        <v>29</v>
      </c>
      <c r="C21" s="70">
        <f>+IF(C7&gt;0,(C18/C7)*100,"")</f>
        <v>2.9661016949152543</v>
      </c>
      <c r="D21" s="71">
        <f t="shared" ref="D21:N21" si="17">+IF(D7&gt;0,(D18/D7)*100,"")</f>
        <v>2.3289665211062593</v>
      </c>
      <c r="E21" s="71">
        <f t="shared" si="17"/>
        <v>2.3097826086956519</v>
      </c>
      <c r="F21" s="71">
        <f t="shared" si="17"/>
        <v>2.3160762942779289</v>
      </c>
      <c r="G21" s="71">
        <f t="shared" si="17"/>
        <v>2.6217228464419478</v>
      </c>
      <c r="H21" s="71">
        <f t="shared" si="17"/>
        <v>0.99573257467994303</v>
      </c>
      <c r="I21" s="71">
        <f t="shared" si="17"/>
        <v>2.3676880222841223</v>
      </c>
      <c r="J21" s="71">
        <f t="shared" si="17"/>
        <v>2.1008403361344539</v>
      </c>
      <c r="K21" s="71">
        <f t="shared" si="17"/>
        <v>2.1186440677966099</v>
      </c>
      <c r="L21" s="71">
        <f t="shared" si="17"/>
        <v>2.9530201342281881</v>
      </c>
      <c r="M21" s="71">
        <f t="shared" si="17"/>
        <v>1.3432835820895521</v>
      </c>
      <c r="N21" s="73">
        <f t="shared" si="17"/>
        <v>2.2058823529411766</v>
      </c>
      <c r="O21" s="115">
        <f>+IF(O7&gt;0,(O18/O7)*100,"")</f>
        <v>2.2311212814645311</v>
      </c>
    </row>
    <row r="22" spans="1:15" ht="15.75" thickBot="1" x14ac:dyDescent="0.3">
      <c r="A22" s="1"/>
      <c r="B22" s="61" t="s">
        <v>30</v>
      </c>
      <c r="C22" s="70">
        <f>+IF(C7&gt;0,(C19/C7)*100,"")</f>
        <v>1.977401129943503</v>
      </c>
      <c r="D22" s="71">
        <f t="shared" ref="D22:N22" si="18">+IF(D7&gt;0,(D19/D7)*100,"")</f>
        <v>2.0378457059679769</v>
      </c>
      <c r="E22" s="71">
        <f t="shared" si="18"/>
        <v>1.6304347826086956</v>
      </c>
      <c r="F22" s="71">
        <f t="shared" si="18"/>
        <v>1.7711171662125342</v>
      </c>
      <c r="G22" s="71">
        <f t="shared" si="18"/>
        <v>1.7478152309612984</v>
      </c>
      <c r="H22" s="71">
        <f t="shared" si="18"/>
        <v>0.14224751066856331</v>
      </c>
      <c r="I22" s="71">
        <f t="shared" si="18"/>
        <v>1.532033426183844</v>
      </c>
      <c r="J22" s="71">
        <f t="shared" si="18"/>
        <v>1.5406162464985995</v>
      </c>
      <c r="K22" s="71">
        <f t="shared" si="18"/>
        <v>1.977401129943503</v>
      </c>
      <c r="L22" s="71">
        <f t="shared" si="18"/>
        <v>2.5503355704697985</v>
      </c>
      <c r="M22" s="71">
        <f t="shared" si="18"/>
        <v>1.0447761194029852</v>
      </c>
      <c r="N22" s="73">
        <f t="shared" si="18"/>
        <v>1.1029411764705883</v>
      </c>
      <c r="O22" s="115">
        <f>+IF(O7&gt;0,(O19/O7)*100,"")</f>
        <v>1.5903890160183065</v>
      </c>
    </row>
    <row r="23" spans="1:15" ht="15.75" thickBot="1" x14ac:dyDescent="0.3">
      <c r="A23" s="1"/>
      <c r="B23" s="59" t="s">
        <v>31</v>
      </c>
      <c r="C23" s="22">
        <f t="shared" ref="C23:N23" si="19">+C64+C86+C108+C130+C152+C174+C209</f>
        <v>4</v>
      </c>
      <c r="D23" s="23">
        <f t="shared" si="19"/>
        <v>1</v>
      </c>
      <c r="E23" s="23">
        <f t="shared" si="19"/>
        <v>2</v>
      </c>
      <c r="F23" s="23">
        <f t="shared" si="19"/>
        <v>7</v>
      </c>
      <c r="G23" s="23">
        <f t="shared" si="19"/>
        <v>5</v>
      </c>
      <c r="H23" s="23">
        <f t="shared" si="19"/>
        <v>0</v>
      </c>
      <c r="I23" s="23">
        <f t="shared" si="19"/>
        <v>1</v>
      </c>
      <c r="J23" s="23">
        <f t="shared" si="19"/>
        <v>4</v>
      </c>
      <c r="K23" s="23">
        <f t="shared" si="19"/>
        <v>2</v>
      </c>
      <c r="L23" s="23">
        <f t="shared" si="19"/>
        <v>1</v>
      </c>
      <c r="M23" s="23">
        <f t="shared" si="19"/>
        <v>4</v>
      </c>
      <c r="N23" s="117">
        <f t="shared" si="19"/>
        <v>2</v>
      </c>
      <c r="O23" s="111">
        <f t="shared" si="2"/>
        <v>33</v>
      </c>
    </row>
    <row r="24" spans="1:15" ht="15.75" thickBot="1" x14ac:dyDescent="0.3">
      <c r="A24" s="1"/>
      <c r="B24" s="61" t="s">
        <v>32</v>
      </c>
      <c r="C24" s="70">
        <f>+IF(C7&gt;0,(C23/C7)*100,"")</f>
        <v>0.56497175141242939</v>
      </c>
      <c r="D24" s="71">
        <f t="shared" ref="D24:O24" si="20">+IF(D7&gt;0,(D23/D7)*100,"")</f>
        <v>0.14556040756914121</v>
      </c>
      <c r="E24" s="71">
        <f t="shared" si="20"/>
        <v>0.27173913043478259</v>
      </c>
      <c r="F24" s="71">
        <f t="shared" si="20"/>
        <v>0.9536784741144414</v>
      </c>
      <c r="G24" s="71">
        <f t="shared" si="20"/>
        <v>0.62421972534332082</v>
      </c>
      <c r="H24" s="71">
        <f t="shared" si="20"/>
        <v>0</v>
      </c>
      <c r="I24" s="71">
        <f t="shared" si="20"/>
        <v>0.1392757660167131</v>
      </c>
      <c r="J24" s="71">
        <f t="shared" si="20"/>
        <v>0.56022408963585435</v>
      </c>
      <c r="K24" s="71">
        <f t="shared" si="20"/>
        <v>0.2824858757062147</v>
      </c>
      <c r="L24" s="71">
        <f t="shared" si="20"/>
        <v>0.13422818791946309</v>
      </c>
      <c r="M24" s="71">
        <f t="shared" si="20"/>
        <v>0.59701492537313439</v>
      </c>
      <c r="N24" s="73">
        <f t="shared" si="20"/>
        <v>0.24509803921568626</v>
      </c>
      <c r="O24" s="115">
        <f t="shared" si="20"/>
        <v>0.37757437070938216</v>
      </c>
    </row>
    <row r="25" spans="1:15" ht="15.75" thickBot="1" x14ac:dyDescent="0.3">
      <c r="A25" s="1"/>
      <c r="B25" s="59" t="s">
        <v>33</v>
      </c>
      <c r="C25" s="22">
        <f>+C175</f>
        <v>245</v>
      </c>
      <c r="D25" s="23">
        <f t="shared" ref="D25:N25" si="21">+D175</f>
        <v>227</v>
      </c>
      <c r="E25" s="23">
        <f t="shared" si="21"/>
        <v>256</v>
      </c>
      <c r="F25" s="23">
        <f t="shared" si="21"/>
        <v>236</v>
      </c>
      <c r="G25" s="23">
        <f t="shared" si="21"/>
        <v>274</v>
      </c>
      <c r="H25" s="23">
        <f t="shared" si="21"/>
        <v>249</v>
      </c>
      <c r="I25" s="23">
        <f t="shared" si="21"/>
        <v>259</v>
      </c>
      <c r="J25" s="23">
        <f t="shared" si="21"/>
        <v>239</v>
      </c>
      <c r="K25" s="23">
        <f t="shared" si="21"/>
        <v>253</v>
      </c>
      <c r="L25" s="23">
        <f t="shared" si="21"/>
        <v>238</v>
      </c>
      <c r="M25" s="23">
        <f t="shared" si="21"/>
        <v>231</v>
      </c>
      <c r="N25" s="117">
        <f t="shared" si="21"/>
        <v>256</v>
      </c>
      <c r="O25" s="111">
        <f t="shared" si="2"/>
        <v>2963</v>
      </c>
    </row>
    <row r="26" spans="1:15" ht="15.75" thickBot="1" x14ac:dyDescent="0.3">
      <c r="A26" s="1"/>
      <c r="B26" s="59" t="s">
        <v>34</v>
      </c>
      <c r="C26" s="22">
        <f t="shared" ref="C26:N37" si="22">+C176</f>
        <v>244</v>
      </c>
      <c r="D26" s="23">
        <f t="shared" si="22"/>
        <v>226</v>
      </c>
      <c r="E26" s="23">
        <f t="shared" si="22"/>
        <v>256</v>
      </c>
      <c r="F26" s="23">
        <f t="shared" si="22"/>
        <v>236</v>
      </c>
      <c r="G26" s="23">
        <f t="shared" si="22"/>
        <v>270</v>
      </c>
      <c r="H26" s="23">
        <f t="shared" si="22"/>
        <v>251</v>
      </c>
      <c r="I26" s="23">
        <f t="shared" si="22"/>
        <v>256</v>
      </c>
      <c r="J26" s="23">
        <f t="shared" si="22"/>
        <v>241</v>
      </c>
      <c r="K26" s="23">
        <f t="shared" si="22"/>
        <v>254</v>
      </c>
      <c r="L26" s="23">
        <f t="shared" si="22"/>
        <v>240</v>
      </c>
      <c r="M26" s="23">
        <f t="shared" si="22"/>
        <v>229</v>
      </c>
      <c r="N26" s="117">
        <f t="shared" si="22"/>
        <v>258</v>
      </c>
      <c r="O26" s="111">
        <f t="shared" si="2"/>
        <v>2961</v>
      </c>
    </row>
    <row r="27" spans="1:15" ht="15.75" thickBot="1" x14ac:dyDescent="0.3">
      <c r="A27" s="1"/>
      <c r="B27" s="59" t="s">
        <v>35</v>
      </c>
      <c r="C27" s="22">
        <f t="shared" si="22"/>
        <v>59</v>
      </c>
      <c r="D27" s="23">
        <f t="shared" si="22"/>
        <v>43</v>
      </c>
      <c r="E27" s="23">
        <f t="shared" si="22"/>
        <v>50</v>
      </c>
      <c r="F27" s="23">
        <f t="shared" si="22"/>
        <v>49</v>
      </c>
      <c r="G27" s="23">
        <f t="shared" si="22"/>
        <v>63</v>
      </c>
      <c r="H27" s="23">
        <f t="shared" si="22"/>
        <v>52</v>
      </c>
      <c r="I27" s="23">
        <f t="shared" si="22"/>
        <v>45</v>
      </c>
      <c r="J27" s="23">
        <f t="shared" si="22"/>
        <v>67</v>
      </c>
      <c r="K27" s="23" t="s">
        <v>65</v>
      </c>
      <c r="L27" s="23">
        <f t="shared" si="22"/>
        <v>58</v>
      </c>
      <c r="M27" s="23">
        <f t="shared" si="22"/>
        <v>48</v>
      </c>
      <c r="N27" s="117">
        <f t="shared" si="22"/>
        <v>45</v>
      </c>
      <c r="O27" s="111">
        <f t="shared" si="2"/>
        <v>579</v>
      </c>
    </row>
    <row r="28" spans="1:15" ht="15.75" thickBot="1" x14ac:dyDescent="0.3">
      <c r="A28" s="1"/>
      <c r="B28" s="60" t="s">
        <v>36</v>
      </c>
      <c r="C28" s="22">
        <f t="shared" si="22"/>
        <v>91</v>
      </c>
      <c r="D28" s="23">
        <f t="shared" si="22"/>
        <v>72</v>
      </c>
      <c r="E28" s="23">
        <f t="shared" si="22"/>
        <v>93</v>
      </c>
      <c r="F28" s="23">
        <f t="shared" si="22"/>
        <v>85</v>
      </c>
      <c r="G28" s="23">
        <f t="shared" si="22"/>
        <v>93</v>
      </c>
      <c r="H28" s="23">
        <f t="shared" si="22"/>
        <v>96</v>
      </c>
      <c r="I28" s="23">
        <f t="shared" si="22"/>
        <v>95</v>
      </c>
      <c r="J28" s="23">
        <f t="shared" si="22"/>
        <v>103</v>
      </c>
      <c r="K28" s="23">
        <f t="shared" si="22"/>
        <v>94</v>
      </c>
      <c r="L28" s="23">
        <f t="shared" si="22"/>
        <v>95</v>
      </c>
      <c r="M28" s="23">
        <f t="shared" si="22"/>
        <v>96</v>
      </c>
      <c r="N28" s="117">
        <f t="shared" si="22"/>
        <v>125</v>
      </c>
      <c r="O28" s="111">
        <f t="shared" si="2"/>
        <v>1138</v>
      </c>
    </row>
    <row r="29" spans="1:15" ht="15.75" thickBot="1" x14ac:dyDescent="0.3">
      <c r="A29" s="1"/>
      <c r="B29" s="60" t="s">
        <v>37</v>
      </c>
      <c r="C29" s="22">
        <f t="shared" si="22"/>
        <v>58</v>
      </c>
      <c r="D29" s="23">
        <f t="shared" si="22"/>
        <v>42</v>
      </c>
      <c r="E29" s="23">
        <f t="shared" si="22"/>
        <v>49</v>
      </c>
      <c r="F29" s="23">
        <f t="shared" si="22"/>
        <v>49</v>
      </c>
      <c r="G29" s="23">
        <f t="shared" si="22"/>
        <v>61</v>
      </c>
      <c r="H29" s="23">
        <f t="shared" si="22"/>
        <v>52</v>
      </c>
      <c r="I29" s="23">
        <f t="shared" si="22"/>
        <v>42</v>
      </c>
      <c r="J29" s="23">
        <f t="shared" si="22"/>
        <v>65</v>
      </c>
      <c r="K29" s="23">
        <f t="shared" si="22"/>
        <v>56</v>
      </c>
      <c r="L29" s="23">
        <f t="shared" si="22"/>
        <v>57</v>
      </c>
      <c r="M29" s="23">
        <f t="shared" si="22"/>
        <v>47</v>
      </c>
      <c r="N29" s="117">
        <f t="shared" si="22"/>
        <v>45</v>
      </c>
      <c r="O29" s="111">
        <f t="shared" si="2"/>
        <v>623</v>
      </c>
    </row>
    <row r="30" spans="1:15" ht="15.75" thickBot="1" x14ac:dyDescent="0.3">
      <c r="A30" s="1"/>
      <c r="B30" s="60" t="s">
        <v>38</v>
      </c>
      <c r="C30" s="22">
        <f t="shared" si="22"/>
        <v>1</v>
      </c>
      <c r="D30" s="23">
        <f t="shared" si="22"/>
        <v>1</v>
      </c>
      <c r="E30" s="23">
        <f t="shared" si="22"/>
        <v>1</v>
      </c>
      <c r="F30" s="23">
        <f t="shared" si="22"/>
        <v>0</v>
      </c>
      <c r="G30" s="23">
        <f t="shared" si="22"/>
        <v>2</v>
      </c>
      <c r="H30" s="23">
        <f t="shared" si="22"/>
        <v>0</v>
      </c>
      <c r="I30" s="23">
        <f t="shared" si="22"/>
        <v>3</v>
      </c>
      <c r="J30" s="23">
        <f t="shared" si="22"/>
        <v>2</v>
      </c>
      <c r="K30" s="23">
        <f t="shared" si="22"/>
        <v>2</v>
      </c>
      <c r="L30" s="23">
        <f t="shared" si="22"/>
        <v>1</v>
      </c>
      <c r="M30" s="23">
        <f t="shared" si="22"/>
        <v>1</v>
      </c>
      <c r="N30" s="117">
        <f t="shared" si="22"/>
        <v>0</v>
      </c>
      <c r="O30" s="111">
        <f t="shared" si="2"/>
        <v>14</v>
      </c>
    </row>
    <row r="31" spans="1:15" ht="15.75" thickBot="1" x14ac:dyDescent="0.3">
      <c r="A31" s="1"/>
      <c r="B31" s="60" t="s">
        <v>39</v>
      </c>
      <c r="C31" s="22">
        <f t="shared" si="22"/>
        <v>7</v>
      </c>
      <c r="D31" s="23">
        <f t="shared" si="22"/>
        <v>4</v>
      </c>
      <c r="E31" s="23">
        <f t="shared" si="22"/>
        <v>4</v>
      </c>
      <c r="F31" s="23">
        <f t="shared" si="22"/>
        <v>5</v>
      </c>
      <c r="G31" s="23">
        <f t="shared" si="22"/>
        <v>9</v>
      </c>
      <c r="H31" s="23">
        <f t="shared" si="22"/>
        <v>6</v>
      </c>
      <c r="I31" s="23">
        <f t="shared" si="22"/>
        <v>9</v>
      </c>
      <c r="J31" s="23">
        <f t="shared" si="22"/>
        <v>8</v>
      </c>
      <c r="K31" s="23">
        <f t="shared" si="22"/>
        <v>4</v>
      </c>
      <c r="L31" s="23">
        <f t="shared" si="22"/>
        <v>1</v>
      </c>
      <c r="M31" s="23">
        <f t="shared" si="22"/>
        <v>6</v>
      </c>
      <c r="N31" s="117">
        <f t="shared" si="22"/>
        <v>3</v>
      </c>
      <c r="O31" s="111">
        <f t="shared" si="2"/>
        <v>66</v>
      </c>
    </row>
    <row r="32" spans="1:15" ht="15.75" thickBot="1" x14ac:dyDescent="0.3">
      <c r="A32" s="1"/>
      <c r="B32" s="60" t="s">
        <v>40</v>
      </c>
      <c r="C32" s="22">
        <f t="shared" si="22"/>
        <v>154</v>
      </c>
      <c r="D32" s="23">
        <f t="shared" si="22"/>
        <v>155</v>
      </c>
      <c r="E32" s="23">
        <f t="shared" si="22"/>
        <v>163</v>
      </c>
      <c r="F32" s="23">
        <f t="shared" si="22"/>
        <v>151</v>
      </c>
      <c r="G32" s="23">
        <f t="shared" si="22"/>
        <v>181</v>
      </c>
      <c r="H32" s="23">
        <f t="shared" si="22"/>
        <v>153</v>
      </c>
      <c r="I32" s="23">
        <f t="shared" si="22"/>
        <v>164</v>
      </c>
      <c r="J32" s="23">
        <f t="shared" si="22"/>
        <v>136</v>
      </c>
      <c r="K32" s="23">
        <f t="shared" si="22"/>
        <v>159</v>
      </c>
      <c r="L32" s="23">
        <f t="shared" si="22"/>
        <v>143</v>
      </c>
      <c r="M32" s="23">
        <f t="shared" si="22"/>
        <v>135</v>
      </c>
      <c r="N32" s="117">
        <f t="shared" si="22"/>
        <v>131</v>
      </c>
      <c r="O32" s="111">
        <f t="shared" si="2"/>
        <v>1825</v>
      </c>
    </row>
    <row r="33" spans="1:15" ht="15.75" thickBot="1" x14ac:dyDescent="0.3">
      <c r="A33" s="1"/>
      <c r="B33" s="60" t="s">
        <v>41</v>
      </c>
      <c r="C33" s="22">
        <f t="shared" si="22"/>
        <v>0</v>
      </c>
      <c r="D33" s="23">
        <f t="shared" si="22"/>
        <v>0</v>
      </c>
      <c r="E33" s="23">
        <f t="shared" si="22"/>
        <v>0</v>
      </c>
      <c r="F33" s="23">
        <f t="shared" si="22"/>
        <v>1</v>
      </c>
      <c r="G33" s="23">
        <f t="shared" si="22"/>
        <v>0</v>
      </c>
      <c r="H33" s="23">
        <f t="shared" si="22"/>
        <v>0</v>
      </c>
      <c r="I33" s="23">
        <f t="shared" si="22"/>
        <v>0</v>
      </c>
      <c r="J33" s="23">
        <f t="shared" si="22"/>
        <v>0</v>
      </c>
      <c r="K33" s="23">
        <f t="shared" si="22"/>
        <v>0</v>
      </c>
      <c r="L33" s="23">
        <f t="shared" si="22"/>
        <v>0</v>
      </c>
      <c r="M33" s="23">
        <f t="shared" si="22"/>
        <v>0</v>
      </c>
      <c r="N33" s="117">
        <f t="shared" si="22"/>
        <v>0</v>
      </c>
      <c r="O33" s="111">
        <f t="shared" si="2"/>
        <v>1</v>
      </c>
    </row>
    <row r="34" spans="1:15" ht="15.75" thickBot="1" x14ac:dyDescent="0.3">
      <c r="A34" s="1"/>
      <c r="B34" s="60" t="s">
        <v>42</v>
      </c>
      <c r="C34" s="22">
        <f t="shared" si="22"/>
        <v>11</v>
      </c>
      <c r="D34" s="23">
        <f t="shared" si="22"/>
        <v>18</v>
      </c>
      <c r="E34" s="23">
        <f t="shared" si="22"/>
        <v>24</v>
      </c>
      <c r="F34" s="23">
        <f t="shared" si="22"/>
        <v>24</v>
      </c>
      <c r="G34" s="23">
        <f t="shared" si="22"/>
        <v>11</v>
      </c>
      <c r="H34" s="23">
        <f t="shared" si="22"/>
        <v>22</v>
      </c>
      <c r="I34" s="23">
        <f t="shared" si="22"/>
        <v>21</v>
      </c>
      <c r="J34" s="23">
        <f t="shared" si="22"/>
        <v>21</v>
      </c>
      <c r="K34" s="23">
        <f t="shared" si="22"/>
        <v>15</v>
      </c>
      <c r="L34" s="23">
        <f t="shared" si="22"/>
        <v>20</v>
      </c>
      <c r="M34" s="23">
        <f t="shared" si="22"/>
        <v>15</v>
      </c>
      <c r="N34" s="117">
        <f t="shared" si="22"/>
        <v>16</v>
      </c>
      <c r="O34" s="111">
        <f t="shared" si="2"/>
        <v>218</v>
      </c>
    </row>
    <row r="35" spans="1:15" ht="15.75" thickBot="1" x14ac:dyDescent="0.3">
      <c r="A35" s="1"/>
      <c r="B35" s="60" t="s">
        <v>43</v>
      </c>
      <c r="C35" s="22">
        <f t="shared" si="22"/>
        <v>3</v>
      </c>
      <c r="D35" s="23">
        <f t="shared" si="22"/>
        <v>1</v>
      </c>
      <c r="E35" s="23">
        <f t="shared" si="22"/>
        <v>2</v>
      </c>
      <c r="F35" s="23">
        <f t="shared" si="22"/>
        <v>0</v>
      </c>
      <c r="G35" s="23">
        <f t="shared" si="22"/>
        <v>0</v>
      </c>
      <c r="H35" s="23">
        <f t="shared" si="22"/>
        <v>1</v>
      </c>
      <c r="I35" s="23">
        <f t="shared" si="22"/>
        <v>0</v>
      </c>
      <c r="J35" s="23">
        <f t="shared" si="22"/>
        <v>0</v>
      </c>
      <c r="K35" s="23">
        <f t="shared" si="22"/>
        <v>1</v>
      </c>
      <c r="L35" s="23">
        <f t="shared" si="22"/>
        <v>0</v>
      </c>
      <c r="M35" s="23">
        <f t="shared" si="22"/>
        <v>0</v>
      </c>
      <c r="N35" s="117">
        <f t="shared" si="22"/>
        <v>0</v>
      </c>
      <c r="O35" s="111">
        <f t="shared" si="2"/>
        <v>8</v>
      </c>
    </row>
    <row r="36" spans="1:15" ht="15.75" thickBot="1" x14ac:dyDescent="0.3">
      <c r="A36" s="1"/>
      <c r="B36" s="60" t="s">
        <v>44</v>
      </c>
      <c r="C36" s="22">
        <f t="shared" si="22"/>
        <v>2</v>
      </c>
      <c r="D36" s="23">
        <f t="shared" si="22"/>
        <v>2</v>
      </c>
      <c r="E36" s="23">
        <f t="shared" si="22"/>
        <v>0</v>
      </c>
      <c r="F36" s="23">
        <f t="shared" si="22"/>
        <v>2</v>
      </c>
      <c r="G36" s="23">
        <f t="shared" si="22"/>
        <v>6</v>
      </c>
      <c r="H36" s="23">
        <f t="shared" si="22"/>
        <v>4</v>
      </c>
      <c r="I36" s="23">
        <f t="shared" si="22"/>
        <v>0</v>
      </c>
      <c r="J36" s="23">
        <f t="shared" si="22"/>
        <v>0</v>
      </c>
      <c r="K36" s="23">
        <f t="shared" si="22"/>
        <v>0</v>
      </c>
      <c r="L36" s="23">
        <f t="shared" si="22"/>
        <v>1</v>
      </c>
      <c r="M36" s="23">
        <f t="shared" si="22"/>
        <v>1</v>
      </c>
      <c r="N36" s="117">
        <f t="shared" si="22"/>
        <v>0</v>
      </c>
      <c r="O36" s="111">
        <f t="shared" si="2"/>
        <v>18</v>
      </c>
    </row>
    <row r="37" spans="1:15" ht="15.75" thickBot="1" x14ac:dyDescent="0.3">
      <c r="A37" s="1"/>
      <c r="B37" s="60" t="s">
        <v>45</v>
      </c>
      <c r="C37" s="74">
        <f t="shared" si="22"/>
        <v>2</v>
      </c>
      <c r="D37" s="54">
        <f t="shared" si="22"/>
        <v>0</v>
      </c>
      <c r="E37" s="54">
        <f t="shared" si="22"/>
        <v>0</v>
      </c>
      <c r="F37" s="54">
        <f t="shared" si="22"/>
        <v>0</v>
      </c>
      <c r="G37" s="54">
        <f t="shared" si="22"/>
        <v>0</v>
      </c>
      <c r="H37" s="54">
        <f t="shared" si="22"/>
        <v>2</v>
      </c>
      <c r="I37" s="54">
        <f t="shared" si="22"/>
        <v>1</v>
      </c>
      <c r="J37" s="54">
        <f t="shared" si="22"/>
        <v>0</v>
      </c>
      <c r="K37" s="54">
        <f t="shared" si="22"/>
        <v>0</v>
      </c>
      <c r="L37" s="54">
        <f t="shared" si="22"/>
        <v>0</v>
      </c>
      <c r="M37" s="54">
        <f t="shared" si="22"/>
        <v>0</v>
      </c>
      <c r="N37" s="118">
        <f t="shared" si="22"/>
        <v>1</v>
      </c>
      <c r="O37" s="119">
        <f t="shared" si="2"/>
        <v>6</v>
      </c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6" t="s">
        <v>46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6" t="s">
        <v>73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6.5" thickBot="1" x14ac:dyDescent="0.3">
      <c r="A43" s="1"/>
      <c r="B43" s="1"/>
      <c r="C43" s="199" t="s">
        <v>49</v>
      </c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199">
        <f>+[1]INICIO!M4</f>
        <v>2015</v>
      </c>
      <c r="O43" s="201"/>
    </row>
    <row r="44" spans="1:15" ht="15.75" thickBot="1" x14ac:dyDescent="0.3">
      <c r="A44" s="1"/>
      <c r="B44" s="7"/>
      <c r="C44" s="39">
        <v>31</v>
      </c>
      <c r="D44" s="39">
        <v>28</v>
      </c>
      <c r="E44" s="39">
        <v>31</v>
      </c>
      <c r="F44" s="39">
        <v>30</v>
      </c>
      <c r="G44" s="39">
        <v>31</v>
      </c>
      <c r="H44" s="39">
        <v>30</v>
      </c>
      <c r="I44" s="39">
        <v>31</v>
      </c>
      <c r="J44" s="39">
        <v>31</v>
      </c>
      <c r="K44" s="39">
        <v>30</v>
      </c>
      <c r="L44" s="39">
        <v>31</v>
      </c>
      <c r="M44" s="39">
        <v>30</v>
      </c>
      <c r="N44" s="39">
        <v>31</v>
      </c>
      <c r="O44" s="86">
        <v>40</v>
      </c>
    </row>
    <row r="45" spans="1:15" ht="15.75" thickBot="1" x14ac:dyDescent="0.3">
      <c r="A45" s="1"/>
      <c r="B45" s="10" t="s">
        <v>50</v>
      </c>
      <c r="C45" s="11" t="s">
        <v>1</v>
      </c>
      <c r="D45" s="12" t="s">
        <v>2</v>
      </c>
      <c r="E45" s="12" t="s">
        <v>3</v>
      </c>
      <c r="F45" s="12" t="s">
        <v>4</v>
      </c>
      <c r="G45" s="12" t="s">
        <v>5</v>
      </c>
      <c r="H45" s="12" t="s">
        <v>6</v>
      </c>
      <c r="I45" s="12" t="s">
        <v>7</v>
      </c>
      <c r="J45" s="12" t="s">
        <v>8</v>
      </c>
      <c r="K45" s="13" t="s">
        <v>9</v>
      </c>
      <c r="L45" s="13" t="s">
        <v>10</v>
      </c>
      <c r="M45" s="13" t="s">
        <v>11</v>
      </c>
      <c r="N45" s="26" t="s">
        <v>12</v>
      </c>
      <c r="O45" s="27" t="s">
        <v>13</v>
      </c>
    </row>
    <row r="46" spans="1:15" ht="15.75" thickBot="1" x14ac:dyDescent="0.3">
      <c r="A46" s="1"/>
      <c r="B46" s="8" t="s">
        <v>14</v>
      </c>
      <c r="C46" s="44">
        <v>36</v>
      </c>
      <c r="D46" s="44">
        <v>35</v>
      </c>
      <c r="E46" s="44">
        <v>35</v>
      </c>
      <c r="F46" s="44">
        <v>33</v>
      </c>
      <c r="G46" s="44">
        <v>34</v>
      </c>
      <c r="H46" s="44">
        <v>35</v>
      </c>
      <c r="I46" s="44">
        <v>34</v>
      </c>
      <c r="J46" s="44">
        <v>38</v>
      </c>
      <c r="K46" s="44">
        <v>37</v>
      </c>
      <c r="L46" s="44">
        <v>34</v>
      </c>
      <c r="M46" s="44">
        <v>34</v>
      </c>
      <c r="N46" s="48">
        <v>34</v>
      </c>
      <c r="O46" s="88">
        <f>+AVERAGE(C46:N46)</f>
        <v>34.916666666666664</v>
      </c>
    </row>
    <row r="47" spans="1:15" ht="15.75" thickBot="1" x14ac:dyDescent="0.3">
      <c r="A47" s="1"/>
      <c r="B47" s="8" t="s">
        <v>70</v>
      </c>
      <c r="C47" s="32">
        <v>85</v>
      </c>
      <c r="D47" s="21">
        <v>71</v>
      </c>
      <c r="E47" s="21">
        <v>84</v>
      </c>
      <c r="F47" s="3">
        <v>79</v>
      </c>
      <c r="G47" s="3">
        <v>87</v>
      </c>
      <c r="H47" s="3">
        <v>55</v>
      </c>
      <c r="I47" s="3">
        <v>73</v>
      </c>
      <c r="J47" s="3">
        <v>77</v>
      </c>
      <c r="K47" s="3">
        <v>82</v>
      </c>
      <c r="L47" s="3">
        <v>63</v>
      </c>
      <c r="M47" s="3">
        <v>63</v>
      </c>
      <c r="N47" s="33">
        <v>91</v>
      </c>
      <c r="O47" s="18">
        <f t="shared" ref="O47:O64" si="23">+SUM(C47:N47)</f>
        <v>910</v>
      </c>
    </row>
    <row r="48" spans="1:15" ht="15.75" thickBot="1" x14ac:dyDescent="0.3">
      <c r="A48" s="1"/>
      <c r="B48" s="8" t="s">
        <v>16</v>
      </c>
      <c r="C48" s="32">
        <v>68</v>
      </c>
      <c r="D48" s="21">
        <v>81</v>
      </c>
      <c r="E48" s="21">
        <v>76</v>
      </c>
      <c r="F48" s="3">
        <v>83</v>
      </c>
      <c r="G48" s="3">
        <v>84</v>
      </c>
      <c r="H48" s="3">
        <v>50</v>
      </c>
      <c r="I48" s="3">
        <v>81</v>
      </c>
      <c r="J48" s="3">
        <v>75</v>
      </c>
      <c r="K48" s="3">
        <v>80</v>
      </c>
      <c r="L48" s="3">
        <v>68</v>
      </c>
      <c r="M48" s="3">
        <v>63</v>
      </c>
      <c r="N48" s="33">
        <v>86</v>
      </c>
      <c r="O48" s="18">
        <f t="shared" si="23"/>
        <v>895</v>
      </c>
    </row>
    <row r="49" spans="1:15" ht="15.75" thickBot="1" x14ac:dyDescent="0.3">
      <c r="A49" s="1"/>
      <c r="B49" s="8" t="s">
        <v>17</v>
      </c>
      <c r="C49" s="41">
        <f>+C44*C46</f>
        <v>1116</v>
      </c>
      <c r="D49" s="41">
        <f t="shared" ref="D49:L49" si="24">+D44*D46</f>
        <v>980</v>
      </c>
      <c r="E49" s="41">
        <f t="shared" si="24"/>
        <v>1085</v>
      </c>
      <c r="F49" s="41">
        <f t="shared" si="24"/>
        <v>990</v>
      </c>
      <c r="G49" s="41">
        <f t="shared" si="24"/>
        <v>1054</v>
      </c>
      <c r="H49" s="41">
        <f t="shared" si="24"/>
        <v>1050</v>
      </c>
      <c r="I49" s="41">
        <f t="shared" si="24"/>
        <v>1054</v>
      </c>
      <c r="J49" s="41">
        <f t="shared" si="24"/>
        <v>1178</v>
      </c>
      <c r="K49" s="41">
        <f t="shared" si="24"/>
        <v>1110</v>
      </c>
      <c r="L49" s="41">
        <f t="shared" si="24"/>
        <v>1054</v>
      </c>
      <c r="M49" s="41">
        <f>+M44*M46</f>
        <v>1020</v>
      </c>
      <c r="N49" s="45">
        <f>+N44*N46</f>
        <v>1054</v>
      </c>
      <c r="O49" s="18">
        <f t="shared" si="23"/>
        <v>12745</v>
      </c>
    </row>
    <row r="50" spans="1:15" ht="15.75" thickBot="1" x14ac:dyDescent="0.3">
      <c r="A50" s="1"/>
      <c r="B50" s="8" t="s">
        <v>18</v>
      </c>
      <c r="C50" s="32">
        <v>406</v>
      </c>
      <c r="D50" s="21">
        <v>447</v>
      </c>
      <c r="E50" s="21">
        <v>554</v>
      </c>
      <c r="F50" s="3">
        <v>545</v>
      </c>
      <c r="G50" s="3">
        <v>531</v>
      </c>
      <c r="H50" s="3">
        <v>273</v>
      </c>
      <c r="I50" s="3">
        <v>434</v>
      </c>
      <c r="J50" s="3">
        <v>467</v>
      </c>
      <c r="K50" s="3">
        <v>505</v>
      </c>
      <c r="L50" s="3">
        <v>495</v>
      </c>
      <c r="M50" s="3">
        <v>397</v>
      </c>
      <c r="N50" s="33">
        <v>488</v>
      </c>
      <c r="O50" s="18">
        <f t="shared" si="23"/>
        <v>5542</v>
      </c>
    </row>
    <row r="51" spans="1:15" ht="15.75" thickBot="1" x14ac:dyDescent="0.3">
      <c r="A51" s="1"/>
      <c r="B51" s="8" t="s">
        <v>19</v>
      </c>
      <c r="C51" s="32">
        <v>445</v>
      </c>
      <c r="D51" s="21">
        <v>617</v>
      </c>
      <c r="E51" s="21">
        <v>696</v>
      </c>
      <c r="F51" s="3">
        <v>717</v>
      </c>
      <c r="G51" s="3">
        <v>939</v>
      </c>
      <c r="H51" s="3">
        <v>377</v>
      </c>
      <c r="I51" s="3">
        <v>831</v>
      </c>
      <c r="J51" s="3">
        <v>610</v>
      </c>
      <c r="K51" s="3">
        <v>606</v>
      </c>
      <c r="L51" s="3">
        <v>764</v>
      </c>
      <c r="M51" s="3">
        <v>470</v>
      </c>
      <c r="N51" s="33">
        <v>718</v>
      </c>
      <c r="O51" s="18">
        <f t="shared" si="23"/>
        <v>7790</v>
      </c>
    </row>
    <row r="52" spans="1:15" ht="15.75" thickBot="1" x14ac:dyDescent="0.3">
      <c r="A52" s="1"/>
      <c r="B52" s="9" t="s">
        <v>51</v>
      </c>
      <c r="C52" s="75">
        <v>702</v>
      </c>
      <c r="D52" s="76">
        <v>637</v>
      </c>
      <c r="E52" s="76">
        <v>829</v>
      </c>
      <c r="F52" s="77">
        <v>772</v>
      </c>
      <c r="G52" s="76">
        <v>733</v>
      </c>
      <c r="H52" s="76">
        <v>646</v>
      </c>
      <c r="I52" s="76">
        <v>788</v>
      </c>
      <c r="J52" s="76">
        <v>815</v>
      </c>
      <c r="K52" s="76">
        <v>856</v>
      </c>
      <c r="L52" s="76">
        <v>808</v>
      </c>
      <c r="M52" s="76">
        <v>737</v>
      </c>
      <c r="N52" s="78">
        <v>674</v>
      </c>
      <c r="O52" s="18">
        <f t="shared" si="23"/>
        <v>8997</v>
      </c>
    </row>
    <row r="53" spans="1:15" ht="15.75" thickBot="1" x14ac:dyDescent="0.3">
      <c r="A53" s="1"/>
      <c r="B53" s="38" t="s">
        <v>71</v>
      </c>
      <c r="C53" s="42">
        <f>+IF(C48&gt;0,C50/C48,"")</f>
        <v>5.9705882352941178</v>
      </c>
      <c r="D53" s="42">
        <f t="shared" ref="D53:N53" si="25">+IF(D48&gt;0,D50/D48,"")</f>
        <v>5.5185185185185182</v>
      </c>
      <c r="E53" s="42">
        <f t="shared" si="25"/>
        <v>7.2894736842105265</v>
      </c>
      <c r="F53" s="42">
        <f t="shared" si="25"/>
        <v>6.5662650602409638</v>
      </c>
      <c r="G53" s="42">
        <f>+IF(G48&gt;0,G50/G48,"")</f>
        <v>6.3214285714285712</v>
      </c>
      <c r="H53" s="42">
        <f t="shared" si="25"/>
        <v>5.46</v>
      </c>
      <c r="I53" s="42">
        <f t="shared" si="25"/>
        <v>5.3580246913580245</v>
      </c>
      <c r="J53" s="42">
        <f t="shared" si="25"/>
        <v>6.2266666666666666</v>
      </c>
      <c r="K53" s="42">
        <f t="shared" si="25"/>
        <v>6.3125</v>
      </c>
      <c r="L53" s="42">
        <f t="shared" si="25"/>
        <v>7.2794117647058822</v>
      </c>
      <c r="M53" s="42">
        <f>+IF(M48&gt;0,M50/M48,"")</f>
        <v>6.3015873015873014</v>
      </c>
      <c r="N53" s="46">
        <f t="shared" si="25"/>
        <v>5.6744186046511631</v>
      </c>
      <c r="O53" s="47">
        <f>+IF(O48&gt;0,O50/O48,"")</f>
        <v>6.1921787709497202</v>
      </c>
    </row>
    <row r="54" spans="1:15" ht="15.75" thickBot="1" x14ac:dyDescent="0.3">
      <c r="A54" s="1"/>
      <c r="B54" s="38" t="s">
        <v>21</v>
      </c>
      <c r="C54" s="70">
        <f t="shared" ref="C54:L54" si="26">+IF(C48&gt;0,C50/C48,"")</f>
        <v>5.9705882352941178</v>
      </c>
      <c r="D54" s="71">
        <f t="shared" si="26"/>
        <v>5.5185185185185182</v>
      </c>
      <c r="E54" s="71">
        <f t="shared" si="26"/>
        <v>7.2894736842105265</v>
      </c>
      <c r="F54" s="71">
        <f t="shared" si="26"/>
        <v>6.5662650602409638</v>
      </c>
      <c r="G54" s="71">
        <f t="shared" si="26"/>
        <v>6.3214285714285712</v>
      </c>
      <c r="H54" s="71">
        <f t="shared" si="26"/>
        <v>5.46</v>
      </c>
      <c r="I54" s="71">
        <f t="shared" si="26"/>
        <v>5.3580246913580245</v>
      </c>
      <c r="J54" s="71">
        <f t="shared" si="26"/>
        <v>6.2266666666666666</v>
      </c>
      <c r="K54" s="71">
        <f t="shared" si="26"/>
        <v>6.3125</v>
      </c>
      <c r="L54" s="71">
        <f t="shared" si="26"/>
        <v>7.2794117647058822</v>
      </c>
      <c r="M54" s="71">
        <f>+IF(M48&gt;0,M50/M48,"")</f>
        <v>6.3015873015873014</v>
      </c>
      <c r="N54" s="68">
        <f>+IF(N48&gt;0,N50/N48,"")</f>
        <v>5.6744186046511631</v>
      </c>
      <c r="O54" s="47">
        <f>+IF(O48&gt;0,O50/O48,"")</f>
        <v>6.1921787709497202</v>
      </c>
    </row>
    <row r="55" spans="1:15" ht="15.75" thickBot="1" x14ac:dyDescent="0.3">
      <c r="A55" s="1"/>
      <c r="B55" s="38" t="s">
        <v>72</v>
      </c>
      <c r="C55" s="42">
        <f>+IF(C50&gt;0,(C50/C49)*100,"")</f>
        <v>36.379928315412187</v>
      </c>
      <c r="D55" s="42">
        <f t="shared" ref="D55:N55" si="27">+IF(D50&gt;0,(D50/D49)*100,"")</f>
        <v>45.612244897959179</v>
      </c>
      <c r="E55" s="42">
        <f t="shared" si="27"/>
        <v>51.059907834101381</v>
      </c>
      <c r="F55" s="42">
        <f t="shared" si="27"/>
        <v>55.050505050505052</v>
      </c>
      <c r="G55" s="42">
        <f t="shared" si="27"/>
        <v>50.37950664136622</v>
      </c>
      <c r="H55" s="42">
        <f t="shared" si="27"/>
        <v>26</v>
      </c>
      <c r="I55" s="42">
        <f t="shared" si="27"/>
        <v>41.17647058823529</v>
      </c>
      <c r="J55" s="42">
        <f t="shared" si="27"/>
        <v>39.643463497453311</v>
      </c>
      <c r="K55" s="42">
        <f t="shared" si="27"/>
        <v>45.495495495495497</v>
      </c>
      <c r="L55" s="42">
        <f t="shared" si="27"/>
        <v>46.963946869070213</v>
      </c>
      <c r="M55" s="42">
        <f t="shared" si="27"/>
        <v>38.921568627450981</v>
      </c>
      <c r="N55" s="46">
        <f t="shared" si="27"/>
        <v>46.299810246679321</v>
      </c>
      <c r="O55" s="47">
        <f>+IF(O50&gt;0,(O50/O49)*100,"")</f>
        <v>43.483719105531584</v>
      </c>
    </row>
    <row r="56" spans="1:15" ht="15.75" thickBot="1" x14ac:dyDescent="0.3">
      <c r="A56" s="1"/>
      <c r="B56" s="38" t="s">
        <v>23</v>
      </c>
      <c r="C56" s="42">
        <f>+IF(C48&gt;0,C48/C46,"")</f>
        <v>1.8888888888888888</v>
      </c>
      <c r="D56" s="42">
        <f t="shared" ref="D56:M56" si="28">+IF(D48&gt;0,D48/D46,"")</f>
        <v>2.3142857142857145</v>
      </c>
      <c r="E56" s="42">
        <f t="shared" si="28"/>
        <v>2.1714285714285713</v>
      </c>
      <c r="F56" s="42">
        <f t="shared" si="28"/>
        <v>2.5151515151515151</v>
      </c>
      <c r="G56" s="42">
        <f>+IF(G48&gt;0,G48/G46,"")</f>
        <v>2.4705882352941178</v>
      </c>
      <c r="H56" s="42">
        <f t="shared" si="28"/>
        <v>1.4285714285714286</v>
      </c>
      <c r="I56" s="42">
        <f t="shared" si="28"/>
        <v>2.3823529411764706</v>
      </c>
      <c r="J56" s="42">
        <f t="shared" si="28"/>
        <v>1.9736842105263157</v>
      </c>
      <c r="K56" s="42">
        <f t="shared" si="28"/>
        <v>2.1621621621621623</v>
      </c>
      <c r="L56" s="42">
        <f t="shared" si="28"/>
        <v>2</v>
      </c>
      <c r="M56" s="42">
        <f t="shared" si="28"/>
        <v>1.8529411764705883</v>
      </c>
      <c r="N56" s="46">
        <f>+IF(N48&gt;0,N48/N46,"")</f>
        <v>2.5294117647058822</v>
      </c>
      <c r="O56" s="87">
        <f>+IF(O48&gt;0,AVERAGE(C48:N48)/O46,"")</f>
        <v>2.1360381861575179</v>
      </c>
    </row>
    <row r="57" spans="1:15" ht="15.75" thickBot="1" x14ac:dyDescent="0.3">
      <c r="A57" s="1"/>
      <c r="B57" s="38" t="s">
        <v>24</v>
      </c>
      <c r="C57" s="42">
        <f>+IF(C48&gt;0,(C49-C52)/C48,"")</f>
        <v>6.0882352941176467</v>
      </c>
      <c r="D57" s="42">
        <f t="shared" ref="D57:M57" si="29">+IF(D48&gt;0,(D49-D52)/D48,"")</f>
        <v>4.2345679012345681</v>
      </c>
      <c r="E57" s="42">
        <f t="shared" si="29"/>
        <v>3.3684210526315788</v>
      </c>
      <c r="F57" s="42">
        <f t="shared" si="29"/>
        <v>2.6265060240963853</v>
      </c>
      <c r="G57" s="42">
        <f t="shared" si="29"/>
        <v>3.8214285714285716</v>
      </c>
      <c r="H57" s="42">
        <f t="shared" si="29"/>
        <v>8.08</v>
      </c>
      <c r="I57" s="42">
        <f t="shared" si="29"/>
        <v>3.2839506172839505</v>
      </c>
      <c r="J57" s="42">
        <f t="shared" si="29"/>
        <v>4.84</v>
      </c>
      <c r="K57" s="42">
        <f t="shared" si="29"/>
        <v>3.1749999999999998</v>
      </c>
      <c r="L57" s="42">
        <f t="shared" si="29"/>
        <v>3.6176470588235294</v>
      </c>
      <c r="M57" s="42">
        <f t="shared" si="29"/>
        <v>4.4920634920634921</v>
      </c>
      <c r="N57" s="46">
        <f>+IF(N48&gt;0,(N49-N52)/N48,"")</f>
        <v>4.4186046511627906</v>
      </c>
      <c r="O57" s="47">
        <f>+IF(O48&gt;0,(O49-O52)/O48,"")</f>
        <v>4.1877094972067042</v>
      </c>
    </row>
    <row r="58" spans="1:15" ht="15.75" thickBot="1" x14ac:dyDescent="0.3">
      <c r="A58" s="1"/>
      <c r="B58" s="38" t="s">
        <v>25</v>
      </c>
      <c r="C58" s="42">
        <f>+IF(C52&gt;0,(C52/C49)*100,"")</f>
        <v>62.903225806451616</v>
      </c>
      <c r="D58" s="42">
        <f t="shared" ref="D58:N58" si="30">+IF(D52&gt;0,(D52/D49)*100,"")</f>
        <v>65</v>
      </c>
      <c r="E58" s="42">
        <f t="shared" si="30"/>
        <v>76.405529953917053</v>
      </c>
      <c r="F58" s="42">
        <f t="shared" si="30"/>
        <v>77.979797979797979</v>
      </c>
      <c r="G58" s="42">
        <f t="shared" si="30"/>
        <v>69.544592030360533</v>
      </c>
      <c r="H58" s="42">
        <f t="shared" si="30"/>
        <v>61.523809523809526</v>
      </c>
      <c r="I58" s="42">
        <f t="shared" si="30"/>
        <v>74.762808349146113</v>
      </c>
      <c r="J58" s="42">
        <f t="shared" si="30"/>
        <v>69.185059422750427</v>
      </c>
      <c r="K58" s="42">
        <f t="shared" si="30"/>
        <v>77.117117117117118</v>
      </c>
      <c r="L58" s="42">
        <f t="shared" si="30"/>
        <v>76.660341555977226</v>
      </c>
      <c r="M58" s="42">
        <f>+IF(M52&gt;0,(M52/M49)*100,"")</f>
        <v>72.254901960784309</v>
      </c>
      <c r="N58" s="46">
        <f t="shared" si="30"/>
        <v>63.946869070208734</v>
      </c>
      <c r="O58" s="47">
        <f>+IF(O52&gt;0,(O52/O49)*100,"")</f>
        <v>70.592389172224401</v>
      </c>
    </row>
    <row r="59" spans="1:15" ht="15.75" thickBot="1" x14ac:dyDescent="0.3">
      <c r="A59" s="1"/>
      <c r="B59" s="8" t="s">
        <v>26</v>
      </c>
      <c r="C59" s="41">
        <f>+SUM(C60:C61)</f>
        <v>6</v>
      </c>
      <c r="D59" s="41">
        <f t="shared" ref="D59:N59" si="31">+SUM(D60:D61)</f>
        <v>9</v>
      </c>
      <c r="E59" s="41">
        <f t="shared" si="31"/>
        <v>7</v>
      </c>
      <c r="F59" s="41">
        <f t="shared" si="31"/>
        <v>6</v>
      </c>
      <c r="G59" s="41">
        <f t="shared" si="31"/>
        <v>11</v>
      </c>
      <c r="H59" s="41">
        <f t="shared" si="31"/>
        <v>1</v>
      </c>
      <c r="I59" s="41">
        <f t="shared" si="31"/>
        <v>6</v>
      </c>
      <c r="J59" s="41">
        <f t="shared" si="31"/>
        <v>9</v>
      </c>
      <c r="K59" s="41">
        <f t="shared" si="31"/>
        <v>11</v>
      </c>
      <c r="L59" s="41">
        <f t="shared" si="31"/>
        <v>12</v>
      </c>
      <c r="M59" s="41">
        <f t="shared" si="31"/>
        <v>7</v>
      </c>
      <c r="N59" s="45">
        <f t="shared" si="31"/>
        <v>10</v>
      </c>
      <c r="O59" s="18">
        <f t="shared" si="23"/>
        <v>95</v>
      </c>
    </row>
    <row r="60" spans="1:15" ht="15.75" thickBot="1" x14ac:dyDescent="0.3">
      <c r="A60" s="1"/>
      <c r="B60" s="8" t="s">
        <v>52</v>
      </c>
      <c r="C60" s="32">
        <v>4</v>
      </c>
      <c r="D60" s="21">
        <v>8</v>
      </c>
      <c r="E60" s="21">
        <v>6</v>
      </c>
      <c r="F60" s="3">
        <v>4</v>
      </c>
      <c r="G60" s="3">
        <v>7</v>
      </c>
      <c r="H60" s="3">
        <v>0</v>
      </c>
      <c r="I60" s="3">
        <v>3</v>
      </c>
      <c r="J60" s="3">
        <v>8</v>
      </c>
      <c r="K60" s="3">
        <v>10</v>
      </c>
      <c r="L60" s="3">
        <v>12</v>
      </c>
      <c r="M60" s="3">
        <v>6</v>
      </c>
      <c r="N60" s="33">
        <v>9</v>
      </c>
      <c r="O60" s="18">
        <f t="shared" si="23"/>
        <v>77</v>
      </c>
    </row>
    <row r="61" spans="1:15" ht="15.75" thickBot="1" x14ac:dyDescent="0.3">
      <c r="A61" s="1"/>
      <c r="B61" s="8" t="s">
        <v>53</v>
      </c>
      <c r="C61" s="32">
        <v>2</v>
      </c>
      <c r="D61" s="21">
        <v>1</v>
      </c>
      <c r="E61" s="21">
        <v>1</v>
      </c>
      <c r="F61" s="3">
        <v>2</v>
      </c>
      <c r="G61" s="3">
        <v>4</v>
      </c>
      <c r="H61" s="3">
        <v>1</v>
      </c>
      <c r="I61" s="3">
        <v>3</v>
      </c>
      <c r="J61" s="3">
        <v>1</v>
      </c>
      <c r="K61" s="3">
        <v>1</v>
      </c>
      <c r="L61" s="3">
        <v>0</v>
      </c>
      <c r="M61" s="3">
        <v>1</v>
      </c>
      <c r="N61" s="33">
        <v>1</v>
      </c>
      <c r="O61" s="18">
        <f t="shared" si="23"/>
        <v>18</v>
      </c>
    </row>
    <row r="62" spans="1:15" ht="15.75" thickBot="1" x14ac:dyDescent="0.3">
      <c r="A62" s="1"/>
      <c r="B62" s="38" t="s">
        <v>29</v>
      </c>
      <c r="C62" s="67">
        <f>+IF(C48&gt;0,(C59/C48)*100,"")</f>
        <v>8.8235294117647065</v>
      </c>
      <c r="D62" s="67">
        <f t="shared" ref="D62:N62" si="32">+IF(D48&gt;0,(D59/D48)*100,"")</f>
        <v>11.111111111111111</v>
      </c>
      <c r="E62" s="67">
        <f t="shared" si="32"/>
        <v>9.2105263157894726</v>
      </c>
      <c r="F62" s="67">
        <f t="shared" si="32"/>
        <v>7.2289156626506017</v>
      </c>
      <c r="G62" s="67">
        <f t="shared" si="32"/>
        <v>13.095238095238097</v>
      </c>
      <c r="H62" s="67">
        <f t="shared" si="32"/>
        <v>2</v>
      </c>
      <c r="I62" s="67">
        <f t="shared" si="32"/>
        <v>7.4074074074074066</v>
      </c>
      <c r="J62" s="67">
        <f t="shared" si="32"/>
        <v>12</v>
      </c>
      <c r="K62" s="67">
        <f t="shared" si="32"/>
        <v>13.750000000000002</v>
      </c>
      <c r="L62" s="67">
        <f t="shared" si="32"/>
        <v>17.647058823529413</v>
      </c>
      <c r="M62" s="67">
        <f t="shared" si="32"/>
        <v>11.111111111111111</v>
      </c>
      <c r="N62" s="68">
        <f t="shared" si="32"/>
        <v>11.627906976744185</v>
      </c>
      <c r="O62" s="69">
        <f>+IF(O48&gt;0,(O59/O48)*100,"")</f>
        <v>10.614525139664805</v>
      </c>
    </row>
    <row r="63" spans="1:15" ht="15.75" thickBot="1" x14ac:dyDescent="0.3">
      <c r="A63" s="1"/>
      <c r="B63" s="38" t="s">
        <v>30</v>
      </c>
      <c r="C63" s="67">
        <f>+IF(C48&gt;0,(C60/C48)*100,"")</f>
        <v>5.8823529411764701</v>
      </c>
      <c r="D63" s="67">
        <f t="shared" ref="D63:N63" si="33">+IF(D48&gt;0,(D60/D48)*100,"")</f>
        <v>9.8765432098765427</v>
      </c>
      <c r="E63" s="67">
        <f t="shared" si="33"/>
        <v>7.8947368421052628</v>
      </c>
      <c r="F63" s="67">
        <f t="shared" si="33"/>
        <v>4.8192771084337354</v>
      </c>
      <c r="G63" s="67">
        <f t="shared" si="33"/>
        <v>8.3333333333333321</v>
      </c>
      <c r="H63" s="67">
        <f t="shared" si="33"/>
        <v>0</v>
      </c>
      <c r="I63" s="67">
        <f t="shared" si="33"/>
        <v>3.7037037037037033</v>
      </c>
      <c r="J63" s="67">
        <f t="shared" si="33"/>
        <v>10.666666666666668</v>
      </c>
      <c r="K63" s="67">
        <f t="shared" si="33"/>
        <v>12.5</v>
      </c>
      <c r="L63" s="67">
        <f t="shared" si="33"/>
        <v>17.647058823529413</v>
      </c>
      <c r="M63" s="67">
        <f t="shared" si="33"/>
        <v>9.5238095238095237</v>
      </c>
      <c r="N63" s="68">
        <f t="shared" si="33"/>
        <v>10.465116279069768</v>
      </c>
      <c r="O63" s="69">
        <f>+IF(O48&gt;0,(O60/O48)*100,"")</f>
        <v>8.6033519553072626</v>
      </c>
    </row>
    <row r="64" spans="1:15" ht="15.75" thickBot="1" x14ac:dyDescent="0.3">
      <c r="A64" s="1"/>
      <c r="B64" s="15" t="s">
        <v>31</v>
      </c>
      <c r="C64" s="25">
        <v>0</v>
      </c>
      <c r="D64" s="25">
        <v>0</v>
      </c>
      <c r="E64" s="25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5">
        <v>0</v>
      </c>
      <c r="O64" s="28">
        <f t="shared" si="23"/>
        <v>0</v>
      </c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6.5" thickBot="1" x14ac:dyDescent="0.3">
      <c r="A67" s="1"/>
      <c r="B67" s="1"/>
      <c r="C67" s="199" t="s">
        <v>49</v>
      </c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199">
        <f>+[1]INICIO!M4</f>
        <v>2015</v>
      </c>
      <c r="O67" s="201"/>
    </row>
    <row r="68" spans="1:15" ht="15.75" thickBot="1" x14ac:dyDescent="0.3">
      <c r="A68" s="1"/>
      <c r="B68" s="7"/>
      <c r="C68" s="39">
        <v>31</v>
      </c>
      <c r="D68" s="39">
        <v>28</v>
      </c>
      <c r="E68" s="39">
        <v>31</v>
      </c>
      <c r="F68" s="39">
        <v>30</v>
      </c>
      <c r="G68" s="39">
        <v>31</v>
      </c>
      <c r="H68" s="39">
        <v>30</v>
      </c>
      <c r="I68" s="39">
        <v>31</v>
      </c>
      <c r="J68" s="39">
        <v>31</v>
      </c>
      <c r="K68" s="39">
        <v>30</v>
      </c>
      <c r="L68" s="39">
        <v>31</v>
      </c>
      <c r="M68" s="39">
        <v>30</v>
      </c>
      <c r="N68" s="39">
        <v>31</v>
      </c>
      <c r="O68" s="86">
        <v>40</v>
      </c>
    </row>
    <row r="69" spans="1:15" ht="15.75" thickBot="1" x14ac:dyDescent="0.3">
      <c r="A69" s="1"/>
      <c r="B69" s="10" t="s">
        <v>54</v>
      </c>
      <c r="C69" s="11" t="s">
        <v>1</v>
      </c>
      <c r="D69" s="12" t="s">
        <v>2</v>
      </c>
      <c r="E69" s="12" t="s">
        <v>3</v>
      </c>
      <c r="F69" s="12" t="s">
        <v>4</v>
      </c>
      <c r="G69" s="12" t="s">
        <v>5</v>
      </c>
      <c r="H69" s="12" t="s">
        <v>6</v>
      </c>
      <c r="I69" s="12" t="s">
        <v>7</v>
      </c>
      <c r="J69" s="12" t="s">
        <v>8</v>
      </c>
      <c r="K69" s="13" t="s">
        <v>9</v>
      </c>
      <c r="L69" s="13" t="s">
        <v>10</v>
      </c>
      <c r="M69" s="13" t="s">
        <v>11</v>
      </c>
      <c r="N69" s="13" t="s">
        <v>12</v>
      </c>
      <c r="O69" s="14" t="s">
        <v>13</v>
      </c>
    </row>
    <row r="70" spans="1:15" ht="15.75" thickBot="1" x14ac:dyDescent="0.3">
      <c r="A70" s="1"/>
      <c r="B70" s="8" t="s">
        <v>14</v>
      </c>
      <c r="C70" s="44">
        <v>40</v>
      </c>
      <c r="D70" s="44">
        <v>40</v>
      </c>
      <c r="E70" s="44">
        <v>40</v>
      </c>
      <c r="F70" s="44">
        <v>40</v>
      </c>
      <c r="G70" s="44">
        <v>40</v>
      </c>
      <c r="H70" s="44">
        <v>40</v>
      </c>
      <c r="I70" s="44">
        <v>40</v>
      </c>
      <c r="J70" s="44">
        <v>40</v>
      </c>
      <c r="K70" s="44">
        <v>40</v>
      </c>
      <c r="L70" s="44">
        <v>40</v>
      </c>
      <c r="M70" s="44">
        <v>40</v>
      </c>
      <c r="N70" s="44">
        <v>40</v>
      </c>
      <c r="O70" s="36">
        <f>+AVERAGE(C70:N70)</f>
        <v>40</v>
      </c>
    </row>
    <row r="71" spans="1:15" ht="15.75" thickBot="1" x14ac:dyDescent="0.3">
      <c r="A71" s="1"/>
      <c r="B71" s="8" t="s">
        <v>70</v>
      </c>
      <c r="C71" s="32">
        <v>130</v>
      </c>
      <c r="D71" s="21">
        <v>124</v>
      </c>
      <c r="E71" s="21">
        <v>129</v>
      </c>
      <c r="F71" s="3">
        <v>145</v>
      </c>
      <c r="G71" s="3">
        <v>145</v>
      </c>
      <c r="H71" s="3">
        <v>135</v>
      </c>
      <c r="I71" s="3">
        <v>119</v>
      </c>
      <c r="J71" s="3">
        <v>140</v>
      </c>
      <c r="K71" s="3">
        <v>123</v>
      </c>
      <c r="L71" s="3">
        <v>143</v>
      </c>
      <c r="M71" s="3">
        <v>117</v>
      </c>
      <c r="N71" s="33">
        <v>195</v>
      </c>
      <c r="O71" s="18">
        <f t="shared" ref="O71:O76" si="34">+SUM(C71:N71)</f>
        <v>1645</v>
      </c>
    </row>
    <row r="72" spans="1:15" ht="15.75" thickBot="1" x14ac:dyDescent="0.3">
      <c r="A72" s="1"/>
      <c r="B72" s="8" t="s">
        <v>16</v>
      </c>
      <c r="C72" s="32">
        <v>122</v>
      </c>
      <c r="D72" s="21">
        <v>123</v>
      </c>
      <c r="E72" s="21">
        <v>131</v>
      </c>
      <c r="F72" s="3">
        <v>149</v>
      </c>
      <c r="G72" s="3">
        <v>138</v>
      </c>
      <c r="H72" s="3">
        <v>136</v>
      </c>
      <c r="I72" s="3">
        <v>129</v>
      </c>
      <c r="J72" s="3">
        <v>125</v>
      </c>
      <c r="K72" s="3">
        <v>125</v>
      </c>
      <c r="L72" s="3">
        <v>145</v>
      </c>
      <c r="M72" s="3">
        <v>113</v>
      </c>
      <c r="N72" s="33">
        <v>216</v>
      </c>
      <c r="O72" s="18">
        <f t="shared" si="34"/>
        <v>1652</v>
      </c>
    </row>
    <row r="73" spans="1:15" ht="15.75" thickBot="1" x14ac:dyDescent="0.3">
      <c r="A73" s="1"/>
      <c r="B73" s="8" t="s">
        <v>17</v>
      </c>
      <c r="C73" s="41">
        <f>+C68*C70</f>
        <v>1240</v>
      </c>
      <c r="D73" s="41">
        <f t="shared" ref="D73:N73" si="35">+D68*D70</f>
        <v>1120</v>
      </c>
      <c r="E73" s="41">
        <f t="shared" si="35"/>
        <v>1240</v>
      </c>
      <c r="F73" s="41">
        <f t="shared" si="35"/>
        <v>1200</v>
      </c>
      <c r="G73" s="41">
        <f t="shared" si="35"/>
        <v>1240</v>
      </c>
      <c r="H73" s="41">
        <f t="shared" si="35"/>
        <v>1200</v>
      </c>
      <c r="I73" s="41">
        <f t="shared" si="35"/>
        <v>1240</v>
      </c>
      <c r="J73" s="41">
        <f t="shared" si="35"/>
        <v>1240</v>
      </c>
      <c r="K73" s="41">
        <f t="shared" si="35"/>
        <v>1200</v>
      </c>
      <c r="L73" s="41">
        <f t="shared" si="35"/>
        <v>1240</v>
      </c>
      <c r="M73" s="41">
        <f t="shared" si="35"/>
        <v>1200</v>
      </c>
      <c r="N73" s="41">
        <f t="shared" si="35"/>
        <v>1240</v>
      </c>
      <c r="O73" s="18">
        <f t="shared" si="34"/>
        <v>14600</v>
      </c>
    </row>
    <row r="74" spans="1:15" ht="15.75" thickBot="1" x14ac:dyDescent="0.3">
      <c r="A74" s="1"/>
      <c r="B74" s="8" t="s">
        <v>18</v>
      </c>
      <c r="C74" s="32">
        <v>688</v>
      </c>
      <c r="D74" s="21">
        <v>570</v>
      </c>
      <c r="E74" s="21">
        <v>699</v>
      </c>
      <c r="F74" s="3">
        <v>797</v>
      </c>
      <c r="G74" s="3">
        <v>597</v>
      </c>
      <c r="H74" s="3">
        <v>793</v>
      </c>
      <c r="I74" s="3">
        <v>645</v>
      </c>
      <c r="J74" s="3">
        <v>664</v>
      </c>
      <c r="K74" s="3">
        <v>672</v>
      </c>
      <c r="L74" s="3">
        <v>683</v>
      </c>
      <c r="M74" s="3">
        <v>594</v>
      </c>
      <c r="N74" s="33">
        <v>751</v>
      </c>
      <c r="O74" s="18">
        <f t="shared" si="34"/>
        <v>8153</v>
      </c>
    </row>
    <row r="75" spans="1:15" ht="15.75" thickBot="1" x14ac:dyDescent="0.3">
      <c r="A75" s="1"/>
      <c r="B75" s="8" t="s">
        <v>19</v>
      </c>
      <c r="C75" s="32">
        <v>872</v>
      </c>
      <c r="D75" s="21">
        <v>864</v>
      </c>
      <c r="E75" s="21">
        <v>951</v>
      </c>
      <c r="F75" s="3">
        <v>1189</v>
      </c>
      <c r="G75" s="3">
        <v>799</v>
      </c>
      <c r="H75" s="3">
        <v>1095</v>
      </c>
      <c r="I75" s="3">
        <v>819</v>
      </c>
      <c r="J75" s="3">
        <v>915</v>
      </c>
      <c r="K75" s="3">
        <v>1054</v>
      </c>
      <c r="L75" s="3">
        <v>994</v>
      </c>
      <c r="M75" s="3">
        <v>800</v>
      </c>
      <c r="N75" s="33">
        <v>1272</v>
      </c>
      <c r="O75" s="18">
        <f t="shared" si="34"/>
        <v>11624</v>
      </c>
    </row>
    <row r="76" spans="1:15" ht="15.75" thickBot="1" x14ac:dyDescent="0.3">
      <c r="A76" s="1"/>
      <c r="B76" s="9" t="s">
        <v>51</v>
      </c>
      <c r="C76" s="75">
        <v>1007</v>
      </c>
      <c r="D76" s="76">
        <v>857</v>
      </c>
      <c r="E76" s="76">
        <v>997</v>
      </c>
      <c r="F76" s="77">
        <v>996</v>
      </c>
      <c r="G76" s="76">
        <v>981</v>
      </c>
      <c r="H76" s="76">
        <v>1052</v>
      </c>
      <c r="I76" s="76">
        <v>962</v>
      </c>
      <c r="J76" s="76">
        <v>970</v>
      </c>
      <c r="K76" s="76">
        <v>1018</v>
      </c>
      <c r="L76" s="76">
        <v>1028</v>
      </c>
      <c r="M76" s="76">
        <v>971</v>
      </c>
      <c r="N76" s="78">
        <v>821</v>
      </c>
      <c r="O76" s="18">
        <f t="shared" si="34"/>
        <v>11660</v>
      </c>
    </row>
    <row r="77" spans="1:15" ht="15.75" thickBot="1" x14ac:dyDescent="0.3">
      <c r="A77" s="1"/>
      <c r="B77" s="38" t="s">
        <v>71</v>
      </c>
      <c r="C77" s="42">
        <f>+IF(C72&gt;0,C74/C72,"")</f>
        <v>5.639344262295082</v>
      </c>
      <c r="D77" s="42">
        <f t="shared" ref="D77:N77" si="36">+IF(D72&gt;0,D74/D72,"")</f>
        <v>4.6341463414634143</v>
      </c>
      <c r="E77" s="42">
        <f t="shared" si="36"/>
        <v>5.33587786259542</v>
      </c>
      <c r="F77" s="42">
        <f t="shared" si="36"/>
        <v>5.348993288590604</v>
      </c>
      <c r="G77" s="42">
        <f t="shared" si="36"/>
        <v>4.3260869565217392</v>
      </c>
      <c r="H77" s="42">
        <f t="shared" si="36"/>
        <v>5.8308823529411766</v>
      </c>
      <c r="I77" s="42">
        <f t="shared" si="36"/>
        <v>5</v>
      </c>
      <c r="J77" s="42">
        <f t="shared" si="36"/>
        <v>5.3120000000000003</v>
      </c>
      <c r="K77" s="42">
        <f t="shared" si="36"/>
        <v>5.3760000000000003</v>
      </c>
      <c r="L77" s="42">
        <f t="shared" si="36"/>
        <v>4.7103448275862068</v>
      </c>
      <c r="M77" s="42">
        <f t="shared" si="36"/>
        <v>5.2566371681415927</v>
      </c>
      <c r="N77" s="46">
        <f t="shared" si="36"/>
        <v>3.4768518518518516</v>
      </c>
      <c r="O77" s="47">
        <f>+IF(O72&gt;0,O74/O72,"")</f>
        <v>4.9352300242130749</v>
      </c>
    </row>
    <row r="78" spans="1:15" ht="15.75" thickBot="1" x14ac:dyDescent="0.3">
      <c r="A78" s="1"/>
      <c r="B78" s="38" t="s">
        <v>21</v>
      </c>
      <c r="C78" s="70">
        <f t="shared" ref="C78:M78" si="37">+IF(C72&gt;0,C74/C72,"")</f>
        <v>5.639344262295082</v>
      </c>
      <c r="D78" s="71">
        <f t="shared" si="37"/>
        <v>4.6341463414634143</v>
      </c>
      <c r="E78" s="71">
        <f t="shared" si="37"/>
        <v>5.33587786259542</v>
      </c>
      <c r="F78" s="71">
        <f t="shared" si="37"/>
        <v>5.348993288590604</v>
      </c>
      <c r="G78" s="71">
        <f t="shared" si="37"/>
        <v>4.3260869565217392</v>
      </c>
      <c r="H78" s="71">
        <f t="shared" si="37"/>
        <v>5.8308823529411766</v>
      </c>
      <c r="I78" s="71">
        <f t="shared" si="37"/>
        <v>5</v>
      </c>
      <c r="J78" s="71">
        <f t="shared" si="37"/>
        <v>5.3120000000000003</v>
      </c>
      <c r="K78" s="71">
        <f t="shared" si="37"/>
        <v>5.3760000000000003</v>
      </c>
      <c r="L78" s="71">
        <f t="shared" si="37"/>
        <v>4.7103448275862068</v>
      </c>
      <c r="M78" s="71">
        <f t="shared" si="37"/>
        <v>5.2566371681415927</v>
      </c>
      <c r="N78" s="73">
        <f>+IF(N72&gt;0,N74/N72,"")</f>
        <v>3.4768518518518516</v>
      </c>
      <c r="O78" s="47">
        <f>+IF(O72&gt;0,O74/O72,"")</f>
        <v>4.9352300242130749</v>
      </c>
    </row>
    <row r="79" spans="1:15" ht="15.75" thickBot="1" x14ac:dyDescent="0.3">
      <c r="A79" s="1"/>
      <c r="B79" s="38" t="s">
        <v>72</v>
      </c>
      <c r="C79" s="42">
        <f>+IF(C74&gt;0,(C74/C73)*100,"")</f>
        <v>55.483870967741936</v>
      </c>
      <c r="D79" s="42">
        <f t="shared" ref="D79:N79" si="38">+IF(D74&gt;0,(D74/D73)*100,"")</f>
        <v>50.892857142857139</v>
      </c>
      <c r="E79" s="42">
        <f t="shared" si="38"/>
        <v>56.370967741935488</v>
      </c>
      <c r="F79" s="42">
        <f t="shared" si="38"/>
        <v>66.416666666666671</v>
      </c>
      <c r="G79" s="42">
        <f t="shared" si="38"/>
        <v>48.145161290322577</v>
      </c>
      <c r="H79" s="42">
        <f t="shared" si="38"/>
        <v>66.083333333333343</v>
      </c>
      <c r="I79" s="42">
        <f t="shared" si="38"/>
        <v>52.016129032258064</v>
      </c>
      <c r="J79" s="42">
        <f t="shared" si="38"/>
        <v>53.548387096774199</v>
      </c>
      <c r="K79" s="42">
        <f t="shared" si="38"/>
        <v>56.000000000000007</v>
      </c>
      <c r="L79" s="42">
        <f t="shared" si="38"/>
        <v>55.08064516129032</v>
      </c>
      <c r="M79" s="42">
        <f t="shared" si="38"/>
        <v>49.5</v>
      </c>
      <c r="N79" s="46">
        <f t="shared" si="38"/>
        <v>60.564516129032256</v>
      </c>
      <c r="O79" s="47">
        <f>+IF(O74&gt;0,(O74/O73)*100,"")</f>
        <v>55.842465753424655</v>
      </c>
    </row>
    <row r="80" spans="1:15" ht="15.75" thickBot="1" x14ac:dyDescent="0.3">
      <c r="A80" s="1"/>
      <c r="B80" s="38" t="s">
        <v>23</v>
      </c>
      <c r="C80" s="42">
        <f>+IF(C72&gt;0,C72/C70,"")</f>
        <v>3.05</v>
      </c>
      <c r="D80" s="42">
        <f t="shared" ref="D80:N80" si="39">+IF(D72&gt;0,D72/D70,"")</f>
        <v>3.0750000000000002</v>
      </c>
      <c r="E80" s="42">
        <f t="shared" si="39"/>
        <v>3.2749999999999999</v>
      </c>
      <c r="F80" s="42">
        <f t="shared" si="39"/>
        <v>3.7250000000000001</v>
      </c>
      <c r="G80" s="42">
        <f t="shared" si="39"/>
        <v>3.45</v>
      </c>
      <c r="H80" s="42">
        <f t="shared" si="39"/>
        <v>3.4</v>
      </c>
      <c r="I80" s="42">
        <f t="shared" si="39"/>
        <v>3.2250000000000001</v>
      </c>
      <c r="J80" s="42">
        <f t="shared" si="39"/>
        <v>3.125</v>
      </c>
      <c r="K80" s="42">
        <f t="shared" si="39"/>
        <v>3.125</v>
      </c>
      <c r="L80" s="42">
        <f t="shared" si="39"/>
        <v>3.625</v>
      </c>
      <c r="M80" s="42">
        <f t="shared" si="39"/>
        <v>2.8250000000000002</v>
      </c>
      <c r="N80" s="46">
        <f t="shared" si="39"/>
        <v>5.4</v>
      </c>
      <c r="O80" s="87">
        <f>+IF(O72&gt;0,AVERAGE(C72:N72)/O70,"")</f>
        <v>3.4416666666666664</v>
      </c>
    </row>
    <row r="81" spans="1:15" ht="15.75" thickBot="1" x14ac:dyDescent="0.3">
      <c r="A81" s="1"/>
      <c r="B81" s="38" t="s">
        <v>24</v>
      </c>
      <c r="C81" s="42">
        <f>+IF(C72&gt;0,(C73-C76)/C72,"")</f>
        <v>1.9098360655737705</v>
      </c>
      <c r="D81" s="42">
        <f t="shared" ref="D81:N81" si="40">+IF(D72&gt;0,(D73-D76)/D72,"")</f>
        <v>2.1382113821138211</v>
      </c>
      <c r="E81" s="42">
        <f t="shared" si="40"/>
        <v>1.8549618320610688</v>
      </c>
      <c r="F81" s="42">
        <f>+IF(F72&gt;0,(F73-F76)/F72,"")</f>
        <v>1.3691275167785235</v>
      </c>
      <c r="G81" s="42">
        <f t="shared" si="40"/>
        <v>1.8768115942028984</v>
      </c>
      <c r="H81" s="42">
        <f t="shared" si="40"/>
        <v>1.088235294117647</v>
      </c>
      <c r="I81" s="42">
        <f t="shared" si="40"/>
        <v>2.1550387596899223</v>
      </c>
      <c r="J81" s="42">
        <f t="shared" si="40"/>
        <v>2.16</v>
      </c>
      <c r="K81" s="42">
        <f t="shared" si="40"/>
        <v>1.456</v>
      </c>
      <c r="L81" s="42">
        <f t="shared" si="40"/>
        <v>1.4620689655172414</v>
      </c>
      <c r="M81" s="42">
        <f t="shared" si="40"/>
        <v>2.0265486725663715</v>
      </c>
      <c r="N81" s="42">
        <f t="shared" si="40"/>
        <v>1.9398148148148149</v>
      </c>
      <c r="O81" s="47">
        <f>+IF(O72&gt;0,(O73-O76)/O72,"")</f>
        <v>1.7796610169491525</v>
      </c>
    </row>
    <row r="82" spans="1:15" ht="15.75" thickBot="1" x14ac:dyDescent="0.3">
      <c r="A82" s="1"/>
      <c r="B82" s="38" t="s">
        <v>25</v>
      </c>
      <c r="C82" s="42">
        <f>+IF(C76&gt;0,(C76/C73)*100,"")</f>
        <v>81.209677419354847</v>
      </c>
      <c r="D82" s="42">
        <f t="shared" ref="D82:N82" si="41">+IF(D76&gt;0,(D76/D73)*100,"")</f>
        <v>76.517857142857139</v>
      </c>
      <c r="E82" s="42">
        <f t="shared" si="41"/>
        <v>80.403225806451616</v>
      </c>
      <c r="F82" s="42">
        <f>+IF(F76&gt;0,(F76/F73)*100,"")</f>
        <v>83</v>
      </c>
      <c r="G82" s="42">
        <f t="shared" si="41"/>
        <v>79.112903225806448</v>
      </c>
      <c r="H82" s="42">
        <f t="shared" si="41"/>
        <v>87.666666666666671</v>
      </c>
      <c r="I82" s="42">
        <f t="shared" si="41"/>
        <v>77.58064516129032</v>
      </c>
      <c r="J82" s="42">
        <f t="shared" si="41"/>
        <v>78.225806451612897</v>
      </c>
      <c r="K82" s="42">
        <f t="shared" si="41"/>
        <v>84.833333333333343</v>
      </c>
      <c r="L82" s="42">
        <f t="shared" si="41"/>
        <v>82.903225806451601</v>
      </c>
      <c r="M82" s="42">
        <f t="shared" si="41"/>
        <v>80.916666666666671</v>
      </c>
      <c r="N82" s="46">
        <f t="shared" si="41"/>
        <v>66.209677419354847</v>
      </c>
      <c r="O82" s="47">
        <f>+IF(O76&gt;0,(O76/O73)*100,"")</f>
        <v>79.863013698630141</v>
      </c>
    </row>
    <row r="83" spans="1:15" ht="15.75" thickBot="1" x14ac:dyDescent="0.3">
      <c r="A83" s="1"/>
      <c r="B83" s="8" t="s">
        <v>26</v>
      </c>
      <c r="C83" s="41">
        <f>+SUM(C84:C85)</f>
        <v>3</v>
      </c>
      <c r="D83" s="41">
        <f t="shared" ref="D83:N83" si="42">+SUM(D84:D85)</f>
        <v>1</v>
      </c>
      <c r="E83" s="41">
        <f t="shared" si="42"/>
        <v>2</v>
      </c>
      <c r="F83" s="41">
        <f t="shared" si="42"/>
        <v>0</v>
      </c>
      <c r="G83" s="41">
        <f t="shared" si="42"/>
        <v>1</v>
      </c>
      <c r="H83" s="41">
        <f t="shared" si="42"/>
        <v>0</v>
      </c>
      <c r="I83" s="41">
        <f t="shared" si="42"/>
        <v>3</v>
      </c>
      <c r="J83" s="41">
        <f t="shared" si="42"/>
        <v>0</v>
      </c>
      <c r="K83" s="41">
        <f t="shared" si="42"/>
        <v>0</v>
      </c>
      <c r="L83" s="41">
        <f t="shared" si="42"/>
        <v>1</v>
      </c>
      <c r="M83" s="41">
        <f t="shared" si="42"/>
        <v>0</v>
      </c>
      <c r="N83" s="41">
        <f t="shared" si="42"/>
        <v>1</v>
      </c>
      <c r="O83" s="18">
        <f t="shared" ref="O83:O86" si="43">+SUM(C83:N83)</f>
        <v>12</v>
      </c>
    </row>
    <row r="84" spans="1:15" ht="15.75" thickBot="1" x14ac:dyDescent="0.3">
      <c r="A84" s="1"/>
      <c r="B84" s="8" t="s">
        <v>52</v>
      </c>
      <c r="C84" s="32">
        <v>3</v>
      </c>
      <c r="D84" s="21">
        <v>1</v>
      </c>
      <c r="E84" s="21">
        <v>1</v>
      </c>
      <c r="F84" s="3">
        <v>0</v>
      </c>
      <c r="G84" s="3">
        <v>1</v>
      </c>
      <c r="H84" s="3">
        <v>0</v>
      </c>
      <c r="I84" s="3">
        <v>3</v>
      </c>
      <c r="J84" s="3">
        <v>0</v>
      </c>
      <c r="K84" s="3">
        <v>0</v>
      </c>
      <c r="L84" s="3">
        <v>1</v>
      </c>
      <c r="M84" s="3">
        <v>0</v>
      </c>
      <c r="N84" s="33">
        <v>0</v>
      </c>
      <c r="O84" s="18">
        <f t="shared" si="43"/>
        <v>10</v>
      </c>
    </row>
    <row r="85" spans="1:15" ht="15.75" thickBot="1" x14ac:dyDescent="0.3">
      <c r="A85" s="1"/>
      <c r="B85" s="8" t="s">
        <v>53</v>
      </c>
      <c r="C85" s="32">
        <v>0</v>
      </c>
      <c r="D85" s="21">
        <v>0</v>
      </c>
      <c r="E85" s="21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3">
        <v>1</v>
      </c>
      <c r="O85" s="18">
        <f t="shared" si="43"/>
        <v>2</v>
      </c>
    </row>
    <row r="86" spans="1:15" ht="15.75" thickBot="1" x14ac:dyDescent="0.3">
      <c r="A86" s="1"/>
      <c r="B86" s="15" t="s">
        <v>31</v>
      </c>
      <c r="C86" s="25">
        <v>0</v>
      </c>
      <c r="D86" s="25">
        <v>0</v>
      </c>
      <c r="E86" s="25">
        <v>0</v>
      </c>
      <c r="F86" s="34">
        <v>1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5">
        <v>0</v>
      </c>
      <c r="O86" s="28">
        <f t="shared" si="43"/>
        <v>1</v>
      </c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6.5" thickBot="1" x14ac:dyDescent="0.3">
      <c r="A89" s="1"/>
      <c r="B89" s="1"/>
      <c r="C89" s="199" t="s">
        <v>49</v>
      </c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199">
        <f>+[1]INICIO!M4</f>
        <v>2015</v>
      </c>
      <c r="O89" s="201"/>
    </row>
    <row r="90" spans="1:15" ht="15.75" thickBot="1" x14ac:dyDescent="0.3">
      <c r="A90" s="1"/>
      <c r="B90" s="7"/>
      <c r="C90" s="39">
        <v>31</v>
      </c>
      <c r="D90" s="39">
        <v>28</v>
      </c>
      <c r="E90" s="39">
        <v>31</v>
      </c>
      <c r="F90" s="39">
        <v>30</v>
      </c>
      <c r="G90" s="39">
        <v>31</v>
      </c>
      <c r="H90" s="39">
        <v>30</v>
      </c>
      <c r="I90" s="39">
        <v>31</v>
      </c>
      <c r="J90" s="39">
        <v>31</v>
      </c>
      <c r="K90" s="39">
        <v>30</v>
      </c>
      <c r="L90" s="39">
        <v>31</v>
      </c>
      <c r="M90" s="39">
        <v>30</v>
      </c>
      <c r="N90" s="39">
        <v>31</v>
      </c>
      <c r="O90" s="86">
        <f>+O213+O235</f>
        <v>15</v>
      </c>
    </row>
    <row r="91" spans="1:15" ht="15.75" thickBot="1" x14ac:dyDescent="0.3">
      <c r="A91" s="1"/>
      <c r="B91" s="10" t="s">
        <v>66</v>
      </c>
      <c r="C91" s="11" t="s">
        <v>1</v>
      </c>
      <c r="D91" s="12" t="s">
        <v>2</v>
      </c>
      <c r="E91" s="12" t="s">
        <v>3</v>
      </c>
      <c r="F91" s="12" t="s">
        <v>4</v>
      </c>
      <c r="G91" s="12" t="s">
        <v>5</v>
      </c>
      <c r="H91" s="12" t="s">
        <v>6</v>
      </c>
      <c r="I91" s="12" t="s">
        <v>7</v>
      </c>
      <c r="J91" s="12" t="s">
        <v>8</v>
      </c>
      <c r="K91" s="13" t="s">
        <v>9</v>
      </c>
      <c r="L91" s="13" t="s">
        <v>10</v>
      </c>
      <c r="M91" s="13" t="s">
        <v>11</v>
      </c>
      <c r="N91" s="13" t="s">
        <v>12</v>
      </c>
      <c r="O91" s="14" t="s">
        <v>13</v>
      </c>
    </row>
    <row r="92" spans="1:15" ht="15.75" thickBot="1" x14ac:dyDescent="0.3">
      <c r="A92" s="1"/>
      <c r="B92" s="59" t="s">
        <v>14</v>
      </c>
      <c r="C92" s="63">
        <v>15</v>
      </c>
      <c r="D92" s="120">
        <v>15</v>
      </c>
      <c r="E92" s="120">
        <v>15</v>
      </c>
      <c r="F92" s="120">
        <v>15</v>
      </c>
      <c r="G92" s="120">
        <v>15</v>
      </c>
      <c r="H92" s="120">
        <v>15</v>
      </c>
      <c r="I92" s="120">
        <v>15</v>
      </c>
      <c r="J92" s="120">
        <v>15</v>
      </c>
      <c r="K92" s="120">
        <v>15</v>
      </c>
      <c r="L92" s="120">
        <v>15</v>
      </c>
      <c r="M92" s="120">
        <v>15</v>
      </c>
      <c r="N92" s="121">
        <v>15</v>
      </c>
      <c r="O92" s="36">
        <f>+AVERAGE(C92:N92)</f>
        <v>15</v>
      </c>
    </row>
    <row r="93" spans="1:15" ht="15.75" thickBot="1" x14ac:dyDescent="0.3">
      <c r="A93" s="1"/>
      <c r="B93" s="59" t="s">
        <v>70</v>
      </c>
      <c r="C93" s="20">
        <f t="shared" ref="C93:N93" si="44">+C216+C238</f>
        <v>48</v>
      </c>
      <c r="D93" s="32">
        <f t="shared" si="44"/>
        <v>43</v>
      </c>
      <c r="E93" s="32">
        <f t="shared" si="44"/>
        <v>40</v>
      </c>
      <c r="F93" s="32">
        <f t="shared" si="44"/>
        <v>40</v>
      </c>
      <c r="G93" s="32">
        <f t="shared" si="44"/>
        <v>64</v>
      </c>
      <c r="H93" s="32">
        <f t="shared" si="44"/>
        <v>51</v>
      </c>
      <c r="I93" s="32">
        <f t="shared" si="44"/>
        <v>37</v>
      </c>
      <c r="J93" s="32">
        <f t="shared" si="44"/>
        <v>43</v>
      </c>
      <c r="K93" s="32">
        <f t="shared" si="44"/>
        <v>31</v>
      </c>
      <c r="L93" s="32">
        <f t="shared" si="44"/>
        <v>37</v>
      </c>
      <c r="M93" s="32">
        <f t="shared" si="44"/>
        <v>41</v>
      </c>
      <c r="N93" s="89">
        <f t="shared" si="44"/>
        <v>28</v>
      </c>
      <c r="O93" s="18">
        <f t="shared" ref="O93:O98" si="45">+SUM(C93:N93)</f>
        <v>503</v>
      </c>
    </row>
    <row r="94" spans="1:15" ht="15.75" thickBot="1" x14ac:dyDescent="0.3">
      <c r="A94" s="1"/>
      <c r="B94" s="59" t="s">
        <v>16</v>
      </c>
      <c r="C94" s="20">
        <f t="shared" ref="C94:N94" si="46">+C217+C239</f>
        <v>47</v>
      </c>
      <c r="D94" s="32">
        <f t="shared" si="46"/>
        <v>46</v>
      </c>
      <c r="E94" s="32">
        <f t="shared" si="46"/>
        <v>36</v>
      </c>
      <c r="F94" s="32">
        <f t="shared" si="46"/>
        <v>44</v>
      </c>
      <c r="G94" s="32">
        <f t="shared" si="46"/>
        <v>59</v>
      </c>
      <c r="H94" s="32">
        <f t="shared" si="46"/>
        <v>48</v>
      </c>
      <c r="I94" s="32">
        <f t="shared" si="46"/>
        <v>43</v>
      </c>
      <c r="J94" s="32">
        <f t="shared" si="46"/>
        <v>39</v>
      </c>
      <c r="K94" s="32">
        <f t="shared" si="46"/>
        <v>38</v>
      </c>
      <c r="L94" s="32">
        <f t="shared" si="46"/>
        <v>33</v>
      </c>
      <c r="M94" s="32">
        <f t="shared" si="46"/>
        <v>43</v>
      </c>
      <c r="N94" s="89">
        <f t="shared" si="46"/>
        <v>29</v>
      </c>
      <c r="O94" s="18">
        <f t="shared" si="45"/>
        <v>505</v>
      </c>
    </row>
    <row r="95" spans="1:15" ht="15.75" thickBot="1" x14ac:dyDescent="0.3">
      <c r="A95" s="1"/>
      <c r="B95" s="8" t="s">
        <v>17</v>
      </c>
      <c r="C95" s="41">
        <f>+C90*C92</f>
        <v>465</v>
      </c>
      <c r="D95" s="43">
        <f t="shared" ref="D95:N95" si="47">+D90*D92</f>
        <v>420</v>
      </c>
      <c r="E95" s="43">
        <f t="shared" si="47"/>
        <v>465</v>
      </c>
      <c r="F95" s="43">
        <f t="shared" si="47"/>
        <v>450</v>
      </c>
      <c r="G95" s="43">
        <f t="shared" si="47"/>
        <v>465</v>
      </c>
      <c r="H95" s="43">
        <f t="shared" si="47"/>
        <v>450</v>
      </c>
      <c r="I95" s="43">
        <f t="shared" si="47"/>
        <v>465</v>
      </c>
      <c r="J95" s="43">
        <f t="shared" si="47"/>
        <v>465</v>
      </c>
      <c r="K95" s="43">
        <f t="shared" si="47"/>
        <v>450</v>
      </c>
      <c r="L95" s="43">
        <f t="shared" si="47"/>
        <v>465</v>
      </c>
      <c r="M95" s="43">
        <f t="shared" si="47"/>
        <v>450</v>
      </c>
      <c r="N95" s="90">
        <f t="shared" si="47"/>
        <v>465</v>
      </c>
      <c r="O95" s="18">
        <f t="shared" si="45"/>
        <v>5475</v>
      </c>
    </row>
    <row r="96" spans="1:15" ht="15.75" thickBot="1" x14ac:dyDescent="0.3">
      <c r="A96" s="1"/>
      <c r="B96" s="59" t="s">
        <v>18</v>
      </c>
      <c r="C96" s="20">
        <f t="shared" ref="C96:N96" si="48">+C219+C241</f>
        <v>167</v>
      </c>
      <c r="D96" s="32">
        <f t="shared" si="48"/>
        <v>225</v>
      </c>
      <c r="E96" s="32">
        <f t="shared" si="48"/>
        <v>147</v>
      </c>
      <c r="F96" s="32">
        <f t="shared" si="48"/>
        <v>185</v>
      </c>
      <c r="G96" s="32">
        <f t="shared" si="48"/>
        <v>154</v>
      </c>
      <c r="H96" s="32">
        <f t="shared" si="48"/>
        <v>176</v>
      </c>
      <c r="I96" s="32">
        <f t="shared" si="48"/>
        <v>234</v>
      </c>
      <c r="J96" s="32">
        <f t="shared" si="48"/>
        <v>175</v>
      </c>
      <c r="K96" s="32">
        <f t="shared" si="48"/>
        <v>149</v>
      </c>
      <c r="L96" s="32">
        <f t="shared" si="48"/>
        <v>140</v>
      </c>
      <c r="M96" s="32">
        <f t="shared" si="48"/>
        <v>150</v>
      </c>
      <c r="N96" s="89">
        <f t="shared" si="48"/>
        <v>89</v>
      </c>
      <c r="O96" s="18">
        <f t="shared" si="45"/>
        <v>1991</v>
      </c>
    </row>
    <row r="97" spans="1:15" ht="15.75" thickBot="1" x14ac:dyDescent="0.3">
      <c r="A97" s="1"/>
      <c r="B97" s="59" t="s">
        <v>19</v>
      </c>
      <c r="C97" s="20">
        <f t="shared" ref="C97:N97" si="49">+C220+C242</f>
        <v>220</v>
      </c>
      <c r="D97" s="32">
        <f t="shared" si="49"/>
        <v>304</v>
      </c>
      <c r="E97" s="32">
        <f t="shared" si="49"/>
        <v>223</v>
      </c>
      <c r="F97" s="32">
        <f t="shared" si="49"/>
        <v>273</v>
      </c>
      <c r="G97" s="32">
        <f t="shared" si="49"/>
        <v>269</v>
      </c>
      <c r="H97" s="32">
        <f t="shared" si="49"/>
        <v>216</v>
      </c>
      <c r="I97" s="32">
        <f t="shared" si="49"/>
        <v>272</v>
      </c>
      <c r="J97" s="32">
        <f t="shared" si="49"/>
        <v>201</v>
      </c>
      <c r="K97" s="32">
        <f t="shared" si="49"/>
        <v>206</v>
      </c>
      <c r="L97" s="32">
        <f t="shared" si="49"/>
        <v>164</v>
      </c>
      <c r="M97" s="32">
        <f t="shared" si="49"/>
        <v>162</v>
      </c>
      <c r="N97" s="89">
        <f t="shared" si="49"/>
        <v>101</v>
      </c>
      <c r="O97" s="18">
        <f t="shared" si="45"/>
        <v>2611</v>
      </c>
    </row>
    <row r="98" spans="1:15" ht="15.75" thickBot="1" x14ac:dyDescent="0.3">
      <c r="A98" s="1"/>
      <c r="B98" s="60" t="s">
        <v>51</v>
      </c>
      <c r="C98" s="79">
        <f t="shared" ref="C98:N98" si="50">+C221+C243</f>
        <v>224</v>
      </c>
      <c r="D98" s="75">
        <f t="shared" si="50"/>
        <v>269</v>
      </c>
      <c r="E98" s="75">
        <f t="shared" si="50"/>
        <v>272</v>
      </c>
      <c r="F98" s="75">
        <f t="shared" si="50"/>
        <v>275</v>
      </c>
      <c r="G98" s="75">
        <f t="shared" si="50"/>
        <v>426</v>
      </c>
      <c r="H98" s="75">
        <f t="shared" si="50"/>
        <v>258</v>
      </c>
      <c r="I98" s="75">
        <f t="shared" si="50"/>
        <v>257</v>
      </c>
      <c r="J98" s="75">
        <f t="shared" si="50"/>
        <v>286</v>
      </c>
      <c r="K98" s="75">
        <f t="shared" si="50"/>
        <v>222</v>
      </c>
      <c r="L98" s="75">
        <f t="shared" si="50"/>
        <v>213</v>
      </c>
      <c r="M98" s="75">
        <f t="shared" si="50"/>
        <v>172</v>
      </c>
      <c r="N98" s="91">
        <f t="shared" si="50"/>
        <v>107</v>
      </c>
      <c r="O98" s="18">
        <f t="shared" si="45"/>
        <v>2981</v>
      </c>
    </row>
    <row r="99" spans="1:15" ht="15.75" thickBot="1" x14ac:dyDescent="0.3">
      <c r="A99" s="1"/>
      <c r="B99" s="61" t="s">
        <v>71</v>
      </c>
      <c r="C99" s="65">
        <f>+IF(C94&gt;0,C96/C94,"")</f>
        <v>3.5531914893617023</v>
      </c>
      <c r="D99" s="42">
        <f t="shared" ref="D99:N99" si="51">+IF(D94&gt;0,D96/D94,"")</f>
        <v>4.8913043478260869</v>
      </c>
      <c r="E99" s="42">
        <f t="shared" si="51"/>
        <v>4.083333333333333</v>
      </c>
      <c r="F99" s="42">
        <f t="shared" si="51"/>
        <v>4.2045454545454541</v>
      </c>
      <c r="G99" s="42">
        <f t="shared" si="51"/>
        <v>2.6101694915254239</v>
      </c>
      <c r="H99" s="42">
        <f t="shared" si="51"/>
        <v>3.6666666666666665</v>
      </c>
      <c r="I99" s="42">
        <f t="shared" si="51"/>
        <v>5.441860465116279</v>
      </c>
      <c r="J99" s="42">
        <f t="shared" si="51"/>
        <v>4.4871794871794872</v>
      </c>
      <c r="K99" s="42">
        <f t="shared" si="51"/>
        <v>3.9210526315789473</v>
      </c>
      <c r="L99" s="42">
        <f t="shared" si="51"/>
        <v>4.2424242424242422</v>
      </c>
      <c r="M99" s="42">
        <f t="shared" si="51"/>
        <v>3.4883720930232558</v>
      </c>
      <c r="N99" s="46">
        <f t="shared" si="51"/>
        <v>3.0689655172413794</v>
      </c>
      <c r="O99" s="47">
        <f>+IF(O94&gt;0,O96/O94,"")</f>
        <v>3.9425742574257425</v>
      </c>
    </row>
    <row r="100" spans="1:15" ht="15.75" thickBot="1" x14ac:dyDescent="0.3">
      <c r="A100" s="1"/>
      <c r="B100" s="61" t="s">
        <v>21</v>
      </c>
      <c r="C100" s="70">
        <f t="shared" ref="C100:N100" si="52">+IF(C94&gt;0,C96/C94,"")</f>
        <v>3.5531914893617023</v>
      </c>
      <c r="D100" s="71">
        <f t="shared" si="52"/>
        <v>4.8913043478260869</v>
      </c>
      <c r="E100" s="71">
        <f t="shared" si="52"/>
        <v>4.083333333333333</v>
      </c>
      <c r="F100" s="71">
        <f t="shared" si="52"/>
        <v>4.2045454545454541</v>
      </c>
      <c r="G100" s="71">
        <f t="shared" si="52"/>
        <v>2.6101694915254239</v>
      </c>
      <c r="H100" s="71">
        <f t="shared" si="52"/>
        <v>3.6666666666666665</v>
      </c>
      <c r="I100" s="71">
        <f t="shared" si="52"/>
        <v>5.441860465116279</v>
      </c>
      <c r="J100" s="71">
        <f t="shared" si="52"/>
        <v>4.4871794871794872</v>
      </c>
      <c r="K100" s="71">
        <f t="shared" si="52"/>
        <v>3.9210526315789473</v>
      </c>
      <c r="L100" s="71">
        <f t="shared" si="52"/>
        <v>4.2424242424242422</v>
      </c>
      <c r="M100" s="71">
        <f t="shared" si="52"/>
        <v>3.4883720930232558</v>
      </c>
      <c r="N100" s="68">
        <f t="shared" si="52"/>
        <v>3.0689655172413794</v>
      </c>
      <c r="O100" s="47">
        <f>+IF(O94&gt;0,O96/O94,"")</f>
        <v>3.9425742574257425</v>
      </c>
    </row>
    <row r="101" spans="1:15" ht="15.75" thickBot="1" x14ac:dyDescent="0.3">
      <c r="A101" s="1"/>
      <c r="B101" s="61" t="s">
        <v>72</v>
      </c>
      <c r="C101" s="65">
        <f>+IF(C96&gt;0,(C96/C95)*100,"")</f>
        <v>35.913978494623656</v>
      </c>
      <c r="D101" s="42">
        <f t="shared" ref="D101:N101" si="53">+IF(D96&gt;0,(D96/D95)*100,"")</f>
        <v>53.571428571428569</v>
      </c>
      <c r="E101" s="42">
        <f t="shared" si="53"/>
        <v>31.612903225806448</v>
      </c>
      <c r="F101" s="42">
        <f t="shared" si="53"/>
        <v>41.111111111111107</v>
      </c>
      <c r="G101" s="42">
        <f t="shared" si="53"/>
        <v>33.118279569892472</v>
      </c>
      <c r="H101" s="42">
        <f t="shared" si="53"/>
        <v>39.111111111111114</v>
      </c>
      <c r="I101" s="42">
        <f t="shared" si="53"/>
        <v>50.322580645161288</v>
      </c>
      <c r="J101" s="42">
        <f t="shared" si="53"/>
        <v>37.634408602150536</v>
      </c>
      <c r="K101" s="42">
        <f t="shared" si="53"/>
        <v>33.111111111111114</v>
      </c>
      <c r="L101" s="42">
        <f t="shared" si="53"/>
        <v>30.107526881720432</v>
      </c>
      <c r="M101" s="42">
        <f t="shared" si="53"/>
        <v>33.333333333333329</v>
      </c>
      <c r="N101" s="46">
        <f t="shared" si="53"/>
        <v>19.13978494623656</v>
      </c>
      <c r="O101" s="47">
        <f>+IF(O96&gt;0,(O96/O95)*100,"")</f>
        <v>36.365296803652967</v>
      </c>
    </row>
    <row r="102" spans="1:15" ht="15.75" thickBot="1" x14ac:dyDescent="0.3">
      <c r="A102" s="1"/>
      <c r="B102" s="61" t="s">
        <v>23</v>
      </c>
      <c r="C102" s="65">
        <f>+IF(C94&gt;0,C94/C92,"")</f>
        <v>3.1333333333333333</v>
      </c>
      <c r="D102" s="42">
        <f t="shared" ref="D102:N102" si="54">+IF(D94&gt;0,D94/D92,"")</f>
        <v>3.0666666666666669</v>
      </c>
      <c r="E102" s="42">
        <f t="shared" si="54"/>
        <v>2.4</v>
      </c>
      <c r="F102" s="42">
        <f t="shared" si="54"/>
        <v>2.9333333333333331</v>
      </c>
      <c r="G102" s="42">
        <f t="shared" si="54"/>
        <v>3.9333333333333331</v>
      </c>
      <c r="H102" s="42">
        <f t="shared" si="54"/>
        <v>3.2</v>
      </c>
      <c r="I102" s="42">
        <f t="shared" si="54"/>
        <v>2.8666666666666667</v>
      </c>
      <c r="J102" s="42">
        <f t="shared" si="54"/>
        <v>2.6</v>
      </c>
      <c r="K102" s="42">
        <f t="shared" si="54"/>
        <v>2.5333333333333332</v>
      </c>
      <c r="L102" s="42">
        <f t="shared" si="54"/>
        <v>2.2000000000000002</v>
      </c>
      <c r="M102" s="42">
        <f t="shared" si="54"/>
        <v>2.8666666666666667</v>
      </c>
      <c r="N102" s="46">
        <f t="shared" si="54"/>
        <v>1.9333333333333333</v>
      </c>
      <c r="O102" s="87">
        <f>+IF(O94&gt;0,AVERAGE(C94:N94)/O92,"")</f>
        <v>2.8055555555555558</v>
      </c>
    </row>
    <row r="103" spans="1:15" ht="15.75" thickBot="1" x14ac:dyDescent="0.3">
      <c r="A103" s="1"/>
      <c r="B103" s="61" t="s">
        <v>24</v>
      </c>
      <c r="C103" s="65">
        <f>+IF(C94&gt;0,(C95-C98)/C94,"")</f>
        <v>5.1276595744680851</v>
      </c>
      <c r="D103" s="42">
        <f t="shared" ref="D103:N103" si="55">+IF(D94&gt;0,(D95-D98)/D94,"")</f>
        <v>3.2826086956521738</v>
      </c>
      <c r="E103" s="42">
        <f t="shared" si="55"/>
        <v>5.3611111111111107</v>
      </c>
      <c r="F103" s="42">
        <f t="shared" si="55"/>
        <v>3.9772727272727271</v>
      </c>
      <c r="G103" s="42">
        <f t="shared" si="55"/>
        <v>0.66101694915254239</v>
      </c>
      <c r="H103" s="42">
        <f t="shared" si="55"/>
        <v>4</v>
      </c>
      <c r="I103" s="42">
        <f t="shared" si="55"/>
        <v>4.8372093023255811</v>
      </c>
      <c r="J103" s="42">
        <f t="shared" si="55"/>
        <v>4.5897435897435894</v>
      </c>
      <c r="K103" s="42">
        <f t="shared" si="55"/>
        <v>6</v>
      </c>
      <c r="L103" s="42">
        <f t="shared" si="55"/>
        <v>7.6363636363636367</v>
      </c>
      <c r="M103" s="42">
        <f t="shared" si="55"/>
        <v>6.4651162790697674</v>
      </c>
      <c r="N103" s="46">
        <f t="shared" si="55"/>
        <v>12.344827586206897</v>
      </c>
      <c r="O103" s="47">
        <f>+IF(O94&gt;0,(O95-O98)/O94,"")</f>
        <v>4.9386138613861386</v>
      </c>
    </row>
    <row r="104" spans="1:15" ht="15.75" thickBot="1" x14ac:dyDescent="0.3">
      <c r="A104" s="1"/>
      <c r="B104" s="61" t="s">
        <v>25</v>
      </c>
      <c r="C104" s="65">
        <f>+IF(C98&gt;0,(C98/C95)*100,"")</f>
        <v>48.172043010752688</v>
      </c>
      <c r="D104" s="42">
        <f t="shared" ref="D104:N104" si="56">+IF(D98&gt;0,(D98/D95)*100,"")</f>
        <v>64.047619047619037</v>
      </c>
      <c r="E104" s="42">
        <f t="shared" si="56"/>
        <v>58.494623655913983</v>
      </c>
      <c r="F104" s="42">
        <f t="shared" si="56"/>
        <v>61.111111111111114</v>
      </c>
      <c r="G104" s="42">
        <f>+IF(G98&gt;0,(G98/G95)*100,"")</f>
        <v>91.612903225806448</v>
      </c>
      <c r="H104" s="42">
        <f t="shared" si="56"/>
        <v>57.333333333333336</v>
      </c>
      <c r="I104" s="42">
        <f t="shared" si="56"/>
        <v>55.268817204301079</v>
      </c>
      <c r="J104" s="42">
        <f t="shared" si="56"/>
        <v>61.505376344086024</v>
      </c>
      <c r="K104" s="42">
        <f t="shared" si="56"/>
        <v>49.333333333333336</v>
      </c>
      <c r="L104" s="42">
        <f t="shared" si="56"/>
        <v>45.806451612903224</v>
      </c>
      <c r="M104" s="42">
        <f t="shared" si="56"/>
        <v>38.222222222222221</v>
      </c>
      <c r="N104" s="46">
        <f t="shared" si="56"/>
        <v>23.010752688172044</v>
      </c>
      <c r="O104" s="47">
        <f>+IF(O98&gt;0,(O98/O95)*100,"")</f>
        <v>54.44748858447489</v>
      </c>
    </row>
    <row r="105" spans="1:15" ht="15.75" thickBot="1" x14ac:dyDescent="0.3">
      <c r="A105" s="1"/>
      <c r="B105" s="59" t="s">
        <v>26</v>
      </c>
      <c r="C105" s="64">
        <f>+SUM(C106:C107)</f>
        <v>3</v>
      </c>
      <c r="D105" s="41">
        <f t="shared" ref="D105:N105" si="57">+SUM(D106:D107)</f>
        <v>1</v>
      </c>
      <c r="E105" s="41">
        <f t="shared" si="57"/>
        <v>2</v>
      </c>
      <c r="F105" s="41">
        <f t="shared" si="57"/>
        <v>3</v>
      </c>
      <c r="G105" s="41">
        <f t="shared" si="57"/>
        <v>0</v>
      </c>
      <c r="H105" s="41">
        <f t="shared" si="57"/>
        <v>3</v>
      </c>
      <c r="I105" s="41">
        <f t="shared" si="57"/>
        <v>1</v>
      </c>
      <c r="J105" s="41">
        <f t="shared" si="57"/>
        <v>2</v>
      </c>
      <c r="K105" s="41">
        <f t="shared" si="57"/>
        <v>1</v>
      </c>
      <c r="L105" s="41">
        <f t="shared" si="57"/>
        <v>0</v>
      </c>
      <c r="M105" s="41">
        <f t="shared" si="57"/>
        <v>0</v>
      </c>
      <c r="N105" s="45">
        <f t="shared" si="57"/>
        <v>1</v>
      </c>
      <c r="O105" s="18">
        <f t="shared" ref="O105:O108" si="58">+SUM(C105:N105)</f>
        <v>17</v>
      </c>
    </row>
    <row r="106" spans="1:15" ht="15.75" thickBot="1" x14ac:dyDescent="0.3">
      <c r="A106" s="1"/>
      <c r="B106" s="59" t="s">
        <v>52</v>
      </c>
      <c r="C106" s="20">
        <f t="shared" ref="C106:N106" si="59">+C229+C251</f>
        <v>1</v>
      </c>
      <c r="D106" s="32">
        <f t="shared" si="59"/>
        <v>1</v>
      </c>
      <c r="E106" s="32">
        <f t="shared" si="59"/>
        <v>0</v>
      </c>
      <c r="F106" s="32">
        <f t="shared" si="59"/>
        <v>3</v>
      </c>
      <c r="G106" s="32">
        <f t="shared" si="59"/>
        <v>0</v>
      </c>
      <c r="H106" s="32">
        <f t="shared" si="59"/>
        <v>0</v>
      </c>
      <c r="I106" s="32">
        <f t="shared" si="59"/>
        <v>0</v>
      </c>
      <c r="J106" s="32">
        <f t="shared" si="59"/>
        <v>1</v>
      </c>
      <c r="K106" s="32">
        <f t="shared" si="59"/>
        <v>1</v>
      </c>
      <c r="L106" s="32">
        <f t="shared" si="59"/>
        <v>0</v>
      </c>
      <c r="M106" s="32">
        <f t="shared" si="59"/>
        <v>0</v>
      </c>
      <c r="N106" s="89">
        <f t="shared" si="59"/>
        <v>0</v>
      </c>
      <c r="O106" s="18">
        <f t="shared" si="58"/>
        <v>7</v>
      </c>
    </row>
    <row r="107" spans="1:15" ht="15.75" thickBot="1" x14ac:dyDescent="0.3">
      <c r="A107" s="1"/>
      <c r="B107" s="59" t="s">
        <v>53</v>
      </c>
      <c r="C107" s="20">
        <f t="shared" ref="C107:N107" si="60">+C230+C252</f>
        <v>2</v>
      </c>
      <c r="D107" s="32">
        <f t="shared" si="60"/>
        <v>0</v>
      </c>
      <c r="E107" s="32">
        <f t="shared" si="60"/>
        <v>2</v>
      </c>
      <c r="F107" s="32">
        <f t="shared" si="60"/>
        <v>0</v>
      </c>
      <c r="G107" s="32">
        <f t="shared" si="60"/>
        <v>0</v>
      </c>
      <c r="H107" s="32">
        <f t="shared" si="60"/>
        <v>3</v>
      </c>
      <c r="I107" s="32">
        <f t="shared" si="60"/>
        <v>1</v>
      </c>
      <c r="J107" s="32">
        <f t="shared" si="60"/>
        <v>1</v>
      </c>
      <c r="K107" s="32">
        <f t="shared" si="60"/>
        <v>0</v>
      </c>
      <c r="L107" s="32">
        <f t="shared" si="60"/>
        <v>0</v>
      </c>
      <c r="M107" s="32">
        <f t="shared" si="60"/>
        <v>0</v>
      </c>
      <c r="N107" s="89">
        <f t="shared" si="60"/>
        <v>1</v>
      </c>
      <c r="O107" s="18">
        <f t="shared" si="58"/>
        <v>10</v>
      </c>
    </row>
    <row r="108" spans="1:15" ht="15.75" thickBot="1" x14ac:dyDescent="0.3">
      <c r="A108" s="1"/>
      <c r="B108" s="62" t="s">
        <v>31</v>
      </c>
      <c r="C108" s="24">
        <f t="shared" ref="C108:N108" si="61">+C231+C253</f>
        <v>0</v>
      </c>
      <c r="D108" s="66">
        <f t="shared" si="61"/>
        <v>0</v>
      </c>
      <c r="E108" s="66">
        <f t="shared" si="61"/>
        <v>1</v>
      </c>
      <c r="F108" s="66">
        <f t="shared" si="61"/>
        <v>0</v>
      </c>
      <c r="G108" s="66">
        <f t="shared" si="61"/>
        <v>0</v>
      </c>
      <c r="H108" s="66">
        <f t="shared" si="61"/>
        <v>0</v>
      </c>
      <c r="I108" s="66">
        <f t="shared" si="61"/>
        <v>1</v>
      </c>
      <c r="J108" s="66">
        <f t="shared" si="61"/>
        <v>0</v>
      </c>
      <c r="K108" s="66">
        <f t="shared" si="61"/>
        <v>0</v>
      </c>
      <c r="L108" s="66">
        <f t="shared" si="61"/>
        <v>0</v>
      </c>
      <c r="M108" s="66">
        <f t="shared" si="61"/>
        <v>0</v>
      </c>
      <c r="N108" s="92">
        <f t="shared" si="61"/>
        <v>0</v>
      </c>
      <c r="O108" s="28">
        <f t="shared" si="58"/>
        <v>2</v>
      </c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thickBo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6.5" thickBot="1" x14ac:dyDescent="0.3">
      <c r="A111" s="1"/>
      <c r="B111" s="1"/>
      <c r="C111" s="199" t="s">
        <v>49</v>
      </c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199">
        <f>+[1]INICIO!M4</f>
        <v>2015</v>
      </c>
      <c r="O111" s="201"/>
    </row>
    <row r="112" spans="1:15" ht="15.75" thickBot="1" x14ac:dyDescent="0.3">
      <c r="A112" s="1"/>
      <c r="B112" s="7"/>
      <c r="C112" s="39">
        <v>31</v>
      </c>
      <c r="D112" s="39">
        <v>28</v>
      </c>
      <c r="E112" s="39">
        <v>31</v>
      </c>
      <c r="F112" s="39">
        <v>30</v>
      </c>
      <c r="G112" s="39">
        <v>31</v>
      </c>
      <c r="H112" s="39">
        <v>30</v>
      </c>
      <c r="I112" s="39">
        <v>31</v>
      </c>
      <c r="J112" s="39">
        <v>31</v>
      </c>
      <c r="K112" s="39">
        <v>30</v>
      </c>
      <c r="L112" s="39">
        <v>31</v>
      </c>
      <c r="M112" s="39">
        <v>30</v>
      </c>
      <c r="N112" s="39">
        <v>31</v>
      </c>
      <c r="O112" s="86">
        <v>36</v>
      </c>
    </row>
    <row r="113" spans="1:15" ht="15.75" thickBot="1" x14ac:dyDescent="0.3">
      <c r="A113" s="1"/>
      <c r="B113" s="10" t="s">
        <v>56</v>
      </c>
      <c r="C113" s="11" t="s">
        <v>1</v>
      </c>
      <c r="D113" s="12" t="s">
        <v>2</v>
      </c>
      <c r="E113" s="12" t="s">
        <v>3</v>
      </c>
      <c r="F113" s="12" t="s">
        <v>4</v>
      </c>
      <c r="G113" s="12" t="s">
        <v>5</v>
      </c>
      <c r="H113" s="12" t="s">
        <v>6</v>
      </c>
      <c r="I113" s="12" t="s">
        <v>7</v>
      </c>
      <c r="J113" s="12" t="s">
        <v>8</v>
      </c>
      <c r="K113" s="13" t="s">
        <v>9</v>
      </c>
      <c r="L113" s="13" t="s">
        <v>10</v>
      </c>
      <c r="M113" s="13" t="s">
        <v>11</v>
      </c>
      <c r="N113" s="13" t="s">
        <v>12</v>
      </c>
      <c r="O113" s="14" t="s">
        <v>13</v>
      </c>
    </row>
    <row r="114" spans="1:15" ht="15.75" thickBot="1" x14ac:dyDescent="0.3">
      <c r="A114" s="1"/>
      <c r="B114" s="8" t="s">
        <v>14</v>
      </c>
      <c r="C114" s="44">
        <v>30</v>
      </c>
      <c r="D114" s="44">
        <v>30</v>
      </c>
      <c r="E114" s="44">
        <v>30</v>
      </c>
      <c r="F114" s="44">
        <v>30</v>
      </c>
      <c r="G114" s="44">
        <v>30</v>
      </c>
      <c r="H114" s="44">
        <v>30</v>
      </c>
      <c r="I114" s="44">
        <v>30</v>
      </c>
      <c r="J114" s="44">
        <v>30</v>
      </c>
      <c r="K114" s="44">
        <v>30</v>
      </c>
      <c r="L114" s="44">
        <v>30</v>
      </c>
      <c r="M114" s="44">
        <v>30</v>
      </c>
      <c r="N114" s="48">
        <v>30</v>
      </c>
      <c r="O114" s="36">
        <f>+AVERAGE(C114:N114)</f>
        <v>30</v>
      </c>
    </row>
    <row r="115" spans="1:15" ht="15.75" thickBot="1" x14ac:dyDescent="0.3">
      <c r="A115" s="1"/>
      <c r="B115" s="8" t="s">
        <v>70</v>
      </c>
      <c r="C115" s="32">
        <v>68</v>
      </c>
      <c r="D115" s="21">
        <v>64</v>
      </c>
      <c r="E115" s="21">
        <v>83</v>
      </c>
      <c r="F115" s="3">
        <v>76</v>
      </c>
      <c r="G115" s="3">
        <v>71</v>
      </c>
      <c r="H115" s="3">
        <v>76</v>
      </c>
      <c r="I115" s="3">
        <v>55</v>
      </c>
      <c r="J115" s="3">
        <v>63</v>
      </c>
      <c r="K115" s="3">
        <v>66</v>
      </c>
      <c r="L115" s="3">
        <v>89</v>
      </c>
      <c r="M115" s="3">
        <v>69</v>
      </c>
      <c r="N115" s="33">
        <v>68</v>
      </c>
      <c r="O115" s="18">
        <f t="shared" ref="O115:O120" si="62">+SUM(C115:N115)</f>
        <v>848</v>
      </c>
    </row>
    <row r="116" spans="1:15" ht="15.75" thickBot="1" x14ac:dyDescent="0.3">
      <c r="A116" s="1"/>
      <c r="B116" s="8" t="s">
        <v>16</v>
      </c>
      <c r="C116" s="32">
        <v>71</v>
      </c>
      <c r="D116" s="21">
        <v>72</v>
      </c>
      <c r="E116" s="21">
        <v>79</v>
      </c>
      <c r="F116" s="3">
        <v>72</v>
      </c>
      <c r="G116" s="3">
        <v>72</v>
      </c>
      <c r="H116" s="3">
        <v>81</v>
      </c>
      <c r="I116" s="3">
        <v>53</v>
      </c>
      <c r="J116" s="3">
        <v>64</v>
      </c>
      <c r="K116" s="3">
        <v>63</v>
      </c>
      <c r="L116" s="3">
        <v>91</v>
      </c>
      <c r="M116" s="3">
        <v>67</v>
      </c>
      <c r="N116" s="33">
        <v>74</v>
      </c>
      <c r="O116" s="18">
        <f t="shared" si="62"/>
        <v>859</v>
      </c>
    </row>
    <row r="117" spans="1:15" ht="15.75" thickBot="1" x14ac:dyDescent="0.3">
      <c r="A117" s="1"/>
      <c r="B117" s="8" t="s">
        <v>17</v>
      </c>
      <c r="C117" s="41">
        <f>+C112*C114</f>
        <v>930</v>
      </c>
      <c r="D117" s="41">
        <f t="shared" ref="D117:N117" si="63">+D112*D114</f>
        <v>840</v>
      </c>
      <c r="E117" s="41">
        <f t="shared" si="63"/>
        <v>930</v>
      </c>
      <c r="F117" s="41">
        <f t="shared" si="63"/>
        <v>900</v>
      </c>
      <c r="G117" s="41">
        <f t="shared" si="63"/>
        <v>930</v>
      </c>
      <c r="H117" s="41">
        <f t="shared" si="63"/>
        <v>900</v>
      </c>
      <c r="I117" s="41">
        <f t="shared" si="63"/>
        <v>930</v>
      </c>
      <c r="J117" s="41">
        <f t="shared" si="63"/>
        <v>930</v>
      </c>
      <c r="K117" s="41">
        <f t="shared" si="63"/>
        <v>900</v>
      </c>
      <c r="L117" s="41">
        <f t="shared" si="63"/>
        <v>930</v>
      </c>
      <c r="M117" s="41">
        <f t="shared" si="63"/>
        <v>900</v>
      </c>
      <c r="N117" s="41">
        <f t="shared" si="63"/>
        <v>930</v>
      </c>
      <c r="O117" s="18">
        <f t="shared" si="62"/>
        <v>10950</v>
      </c>
    </row>
    <row r="118" spans="1:15" ht="15.75" thickBot="1" x14ac:dyDescent="0.3">
      <c r="A118" s="1"/>
      <c r="B118" s="8" t="s">
        <v>18</v>
      </c>
      <c r="C118" s="32">
        <v>259</v>
      </c>
      <c r="D118" s="21">
        <v>210</v>
      </c>
      <c r="E118" s="21">
        <v>219</v>
      </c>
      <c r="F118" s="3">
        <v>231</v>
      </c>
      <c r="G118" s="3">
        <v>286</v>
      </c>
      <c r="H118" s="3">
        <v>276</v>
      </c>
      <c r="I118" s="3">
        <v>189</v>
      </c>
      <c r="J118" s="3">
        <v>230</v>
      </c>
      <c r="K118" s="3">
        <v>199</v>
      </c>
      <c r="L118" s="3">
        <v>311</v>
      </c>
      <c r="M118" s="3">
        <v>212</v>
      </c>
      <c r="N118" s="33">
        <v>222</v>
      </c>
      <c r="O118" s="18">
        <f t="shared" si="62"/>
        <v>2844</v>
      </c>
    </row>
    <row r="119" spans="1:15" ht="15.75" thickBot="1" x14ac:dyDescent="0.3">
      <c r="A119" s="1"/>
      <c r="B119" s="8" t="s">
        <v>19</v>
      </c>
      <c r="C119" s="32">
        <v>284</v>
      </c>
      <c r="D119" s="21">
        <v>250</v>
      </c>
      <c r="E119" s="21">
        <v>264</v>
      </c>
      <c r="F119" s="3">
        <v>303</v>
      </c>
      <c r="G119" s="3">
        <v>461</v>
      </c>
      <c r="H119" s="3">
        <v>298</v>
      </c>
      <c r="I119" s="3">
        <v>207</v>
      </c>
      <c r="J119" s="3">
        <v>240</v>
      </c>
      <c r="K119" s="3">
        <v>223</v>
      </c>
      <c r="L119" s="3">
        <v>604</v>
      </c>
      <c r="M119" s="3">
        <v>253</v>
      </c>
      <c r="N119" s="33">
        <v>256</v>
      </c>
      <c r="O119" s="18">
        <f t="shared" si="62"/>
        <v>3643</v>
      </c>
    </row>
    <row r="120" spans="1:15" ht="15.75" thickBot="1" x14ac:dyDescent="0.3">
      <c r="A120" s="1"/>
      <c r="B120" s="9" t="s">
        <v>51</v>
      </c>
      <c r="C120" s="75">
        <v>317</v>
      </c>
      <c r="D120" s="76">
        <v>236</v>
      </c>
      <c r="E120" s="76">
        <v>267</v>
      </c>
      <c r="F120" s="77">
        <v>313</v>
      </c>
      <c r="G120" s="76">
        <v>337</v>
      </c>
      <c r="H120" s="76">
        <v>359</v>
      </c>
      <c r="I120" s="76">
        <v>234</v>
      </c>
      <c r="J120" s="76">
        <v>282</v>
      </c>
      <c r="K120" s="76">
        <v>249</v>
      </c>
      <c r="L120" s="76">
        <v>335</v>
      </c>
      <c r="M120" s="76">
        <v>228</v>
      </c>
      <c r="N120" s="78">
        <v>222</v>
      </c>
      <c r="O120" s="18">
        <f t="shared" si="62"/>
        <v>3379</v>
      </c>
    </row>
    <row r="121" spans="1:15" ht="15.75" thickBot="1" x14ac:dyDescent="0.3">
      <c r="A121" s="1"/>
      <c r="B121" s="38" t="s">
        <v>71</v>
      </c>
      <c r="C121" s="42">
        <f>+IF(C116&gt;0,C118/C116,"")</f>
        <v>3.647887323943662</v>
      </c>
      <c r="D121" s="42">
        <f t="shared" ref="D121:N121" si="64">+IF(D116&gt;0,D118/D116,"")</f>
        <v>2.9166666666666665</v>
      </c>
      <c r="E121" s="42">
        <f t="shared" si="64"/>
        <v>2.7721518987341773</v>
      </c>
      <c r="F121" s="42">
        <f t="shared" si="64"/>
        <v>3.2083333333333335</v>
      </c>
      <c r="G121" s="42">
        <f t="shared" si="64"/>
        <v>3.9722222222222223</v>
      </c>
      <c r="H121" s="42">
        <f t="shared" si="64"/>
        <v>3.4074074074074074</v>
      </c>
      <c r="I121" s="42">
        <f t="shared" si="64"/>
        <v>3.5660377358490565</v>
      </c>
      <c r="J121" s="42">
        <f t="shared" si="64"/>
        <v>3.59375</v>
      </c>
      <c r="K121" s="42">
        <f t="shared" si="64"/>
        <v>3.1587301587301586</v>
      </c>
      <c r="L121" s="42">
        <f t="shared" si="64"/>
        <v>3.4175824175824174</v>
      </c>
      <c r="M121" s="42">
        <f t="shared" si="64"/>
        <v>3.1641791044776117</v>
      </c>
      <c r="N121" s="46">
        <f t="shared" si="64"/>
        <v>3</v>
      </c>
      <c r="O121" s="47">
        <f>+IF(O116&gt;0,O118/O116,"")</f>
        <v>3.3108265424912688</v>
      </c>
    </row>
    <row r="122" spans="1:15" ht="15.75" thickBot="1" x14ac:dyDescent="0.3">
      <c r="A122" s="1"/>
      <c r="B122" s="38" t="s">
        <v>21</v>
      </c>
      <c r="C122" s="70">
        <f>+IF(C116&gt;0,C118/C116,"")</f>
        <v>3.647887323943662</v>
      </c>
      <c r="D122" s="71">
        <f t="shared" ref="D122:N122" si="65">+IF(D116&gt;0,D118/D116,"")</f>
        <v>2.9166666666666665</v>
      </c>
      <c r="E122" s="71">
        <f t="shared" si="65"/>
        <v>2.7721518987341773</v>
      </c>
      <c r="F122" s="71">
        <f t="shared" si="65"/>
        <v>3.2083333333333335</v>
      </c>
      <c r="G122" s="71">
        <f t="shared" si="65"/>
        <v>3.9722222222222223</v>
      </c>
      <c r="H122" s="71">
        <f t="shared" si="65"/>
        <v>3.4074074074074074</v>
      </c>
      <c r="I122" s="71">
        <f t="shared" si="65"/>
        <v>3.5660377358490565</v>
      </c>
      <c r="J122" s="71">
        <f t="shared" si="65"/>
        <v>3.59375</v>
      </c>
      <c r="K122" s="71">
        <f t="shared" si="65"/>
        <v>3.1587301587301586</v>
      </c>
      <c r="L122" s="71">
        <f t="shared" si="65"/>
        <v>3.4175824175824174</v>
      </c>
      <c r="M122" s="71">
        <f t="shared" si="65"/>
        <v>3.1641791044776117</v>
      </c>
      <c r="N122" s="73">
        <f t="shared" si="65"/>
        <v>3</v>
      </c>
      <c r="O122" s="47">
        <f>+IF(O116&gt;0,O118/O116,"")</f>
        <v>3.3108265424912688</v>
      </c>
    </row>
    <row r="123" spans="1:15" ht="15.75" thickBot="1" x14ac:dyDescent="0.3">
      <c r="A123" s="1"/>
      <c r="B123" s="38" t="s">
        <v>72</v>
      </c>
      <c r="C123" s="42">
        <f>+IF(C118&gt;0,(C118/C117)*100,"")</f>
        <v>27.8494623655914</v>
      </c>
      <c r="D123" s="42">
        <f t="shared" ref="D123:N123" si="66">+IF(D118&gt;0,(D118/D117)*100,"")</f>
        <v>25</v>
      </c>
      <c r="E123" s="42">
        <f t="shared" si="66"/>
        <v>23.548387096774192</v>
      </c>
      <c r="F123" s="42">
        <f t="shared" si="66"/>
        <v>25.666666666666664</v>
      </c>
      <c r="G123" s="42">
        <f t="shared" si="66"/>
        <v>30.752688172043012</v>
      </c>
      <c r="H123" s="42">
        <f t="shared" si="66"/>
        <v>30.666666666666664</v>
      </c>
      <c r="I123" s="42">
        <f t="shared" si="66"/>
        <v>20.322580645161288</v>
      </c>
      <c r="J123" s="42">
        <f t="shared" si="66"/>
        <v>24.731182795698924</v>
      </c>
      <c r="K123" s="42">
        <f t="shared" si="66"/>
        <v>22.111111111111111</v>
      </c>
      <c r="L123" s="42">
        <f t="shared" si="66"/>
        <v>33.44086021505376</v>
      </c>
      <c r="M123" s="42">
        <f t="shared" si="66"/>
        <v>23.555555555555554</v>
      </c>
      <c r="N123" s="46">
        <f t="shared" si="66"/>
        <v>23.870967741935484</v>
      </c>
      <c r="O123" s="47">
        <f>+IF(O118&gt;0,(O118/O117)*100,"")</f>
        <v>25.972602739726025</v>
      </c>
    </row>
    <row r="124" spans="1:15" ht="15.75" thickBot="1" x14ac:dyDescent="0.3">
      <c r="A124" s="1"/>
      <c r="B124" s="38" t="s">
        <v>23</v>
      </c>
      <c r="C124" s="42">
        <f>+IF(C116&gt;0,C116/C114,"")</f>
        <v>2.3666666666666667</v>
      </c>
      <c r="D124" s="42">
        <f t="shared" ref="D124:N124" si="67">+IF(D116&gt;0,D116/D114,"")</f>
        <v>2.4</v>
      </c>
      <c r="E124" s="42">
        <f t="shared" si="67"/>
        <v>2.6333333333333333</v>
      </c>
      <c r="F124" s="42">
        <f t="shared" si="67"/>
        <v>2.4</v>
      </c>
      <c r="G124" s="42">
        <f t="shared" si="67"/>
        <v>2.4</v>
      </c>
      <c r="H124" s="42">
        <f t="shared" si="67"/>
        <v>2.7</v>
      </c>
      <c r="I124" s="42">
        <f t="shared" si="67"/>
        <v>1.7666666666666666</v>
      </c>
      <c r="J124" s="42">
        <f t="shared" si="67"/>
        <v>2.1333333333333333</v>
      </c>
      <c r="K124" s="42">
        <f t="shared" si="67"/>
        <v>2.1</v>
      </c>
      <c r="L124" s="42">
        <f t="shared" si="67"/>
        <v>3.0333333333333332</v>
      </c>
      <c r="M124" s="42">
        <f t="shared" si="67"/>
        <v>2.2333333333333334</v>
      </c>
      <c r="N124" s="46">
        <f t="shared" si="67"/>
        <v>2.4666666666666668</v>
      </c>
      <c r="O124" s="87">
        <f>+IF(O116&gt;0,AVERAGE(C116:N116)/O114,"")</f>
        <v>2.3861111111111111</v>
      </c>
    </row>
    <row r="125" spans="1:15" ht="15.75" thickBot="1" x14ac:dyDescent="0.3">
      <c r="A125" s="1"/>
      <c r="B125" s="38" t="s">
        <v>24</v>
      </c>
      <c r="C125" s="42">
        <f>+IF(C116&gt;0,(C117-C120)/C116,"")</f>
        <v>8.6338028169014081</v>
      </c>
      <c r="D125" s="42">
        <f t="shared" ref="D125:N125" si="68">+IF(D116&gt;0,(D117-D120)/D116,"")</f>
        <v>8.3888888888888893</v>
      </c>
      <c r="E125" s="42">
        <f t="shared" si="68"/>
        <v>8.3924050632911396</v>
      </c>
      <c r="F125" s="42">
        <f t="shared" si="68"/>
        <v>8.1527777777777786</v>
      </c>
      <c r="G125" s="42">
        <f t="shared" si="68"/>
        <v>8.2361111111111107</v>
      </c>
      <c r="H125" s="42">
        <f t="shared" si="68"/>
        <v>6.6790123456790127</v>
      </c>
      <c r="I125" s="42">
        <f t="shared" si="68"/>
        <v>13.132075471698114</v>
      </c>
      <c r="J125" s="42">
        <f t="shared" si="68"/>
        <v>10.125</v>
      </c>
      <c r="K125" s="42">
        <f t="shared" si="68"/>
        <v>10.333333333333334</v>
      </c>
      <c r="L125" s="42">
        <f t="shared" si="68"/>
        <v>6.5384615384615383</v>
      </c>
      <c r="M125" s="42">
        <f t="shared" si="68"/>
        <v>10.029850746268657</v>
      </c>
      <c r="N125" s="42">
        <f t="shared" si="68"/>
        <v>9.5675675675675684</v>
      </c>
      <c r="O125" s="47">
        <f>+IF(O116&gt;0,(O117-O120)/O116,"")</f>
        <v>8.813736903376018</v>
      </c>
    </row>
    <row r="126" spans="1:15" ht="15.75" thickBot="1" x14ac:dyDescent="0.3">
      <c r="A126" s="1"/>
      <c r="B126" s="38" t="s">
        <v>25</v>
      </c>
      <c r="C126" s="42">
        <f>+IF(C120&gt;0,(C120/C117)*100,"")</f>
        <v>34.086021505376344</v>
      </c>
      <c r="D126" s="42">
        <f t="shared" ref="D126:N126" si="69">+IF(D120&gt;0,(D120/D117)*100,"")</f>
        <v>28.095238095238095</v>
      </c>
      <c r="E126" s="42">
        <f t="shared" si="69"/>
        <v>28.70967741935484</v>
      </c>
      <c r="F126" s="42">
        <f t="shared" si="69"/>
        <v>34.777777777777779</v>
      </c>
      <c r="G126" s="42">
        <f t="shared" si="69"/>
        <v>36.236559139784944</v>
      </c>
      <c r="H126" s="42">
        <f>+IF(H120&gt;0,(H120/H117)*100,"")</f>
        <v>39.888888888888893</v>
      </c>
      <c r="I126" s="42">
        <f t="shared" si="69"/>
        <v>25.161290322580644</v>
      </c>
      <c r="J126" s="42">
        <f t="shared" si="69"/>
        <v>30.322580645161288</v>
      </c>
      <c r="K126" s="42">
        <f t="shared" si="69"/>
        <v>27.666666666666668</v>
      </c>
      <c r="L126" s="42">
        <f t="shared" si="69"/>
        <v>36.021505376344088</v>
      </c>
      <c r="M126" s="42">
        <f t="shared" si="69"/>
        <v>25.333333333333336</v>
      </c>
      <c r="N126" s="46">
        <f t="shared" si="69"/>
        <v>23.870967741935484</v>
      </c>
      <c r="O126" s="47">
        <f>+IF(O120&gt;0,(O120/O117)*100,"")</f>
        <v>30.858447488584474</v>
      </c>
    </row>
    <row r="127" spans="1:15" ht="15.75" thickBot="1" x14ac:dyDescent="0.3">
      <c r="A127" s="1"/>
      <c r="B127" s="8" t="s">
        <v>26</v>
      </c>
      <c r="C127" s="41">
        <f>+SUM(C128:C129)</f>
        <v>1</v>
      </c>
      <c r="D127" s="41">
        <f t="shared" ref="D127:N127" si="70">+SUM(D128:D129)</f>
        <v>0</v>
      </c>
      <c r="E127" s="41">
        <f t="shared" si="70"/>
        <v>0</v>
      </c>
      <c r="F127" s="41">
        <f t="shared" si="70"/>
        <v>1</v>
      </c>
      <c r="G127" s="41">
        <f t="shared" si="70"/>
        <v>0</v>
      </c>
      <c r="H127" s="41">
        <f t="shared" si="70"/>
        <v>0</v>
      </c>
      <c r="I127" s="41">
        <f t="shared" si="70"/>
        <v>0</v>
      </c>
      <c r="J127" s="41">
        <f t="shared" si="70"/>
        <v>0</v>
      </c>
      <c r="K127" s="41">
        <f t="shared" si="70"/>
        <v>0</v>
      </c>
      <c r="L127" s="41">
        <f t="shared" si="70"/>
        <v>0</v>
      </c>
      <c r="M127" s="41">
        <f t="shared" si="70"/>
        <v>0</v>
      </c>
      <c r="N127" s="41">
        <f t="shared" si="70"/>
        <v>0</v>
      </c>
      <c r="O127" s="18">
        <f t="shared" ref="O127:O130" si="71">+SUM(C127:N127)</f>
        <v>2</v>
      </c>
    </row>
    <row r="128" spans="1:15" ht="15.75" thickBot="1" x14ac:dyDescent="0.3">
      <c r="A128" s="1"/>
      <c r="B128" s="8" t="s">
        <v>52</v>
      </c>
      <c r="C128" s="32">
        <v>1</v>
      </c>
      <c r="D128" s="21">
        <v>0</v>
      </c>
      <c r="E128" s="21">
        <v>0</v>
      </c>
      <c r="F128" s="3">
        <v>1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3">
        <v>0</v>
      </c>
      <c r="O128" s="18">
        <f t="shared" si="71"/>
        <v>2</v>
      </c>
    </row>
    <row r="129" spans="1:15" ht="15.75" thickBot="1" x14ac:dyDescent="0.3">
      <c r="A129" s="1"/>
      <c r="B129" s="8" t="s">
        <v>53</v>
      </c>
      <c r="C129" s="32">
        <v>0</v>
      </c>
      <c r="D129" s="21">
        <v>0</v>
      </c>
      <c r="E129" s="21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3">
        <v>0</v>
      </c>
      <c r="O129" s="18">
        <f t="shared" si="71"/>
        <v>0</v>
      </c>
    </row>
    <row r="130" spans="1:15" ht="15.75" thickBot="1" x14ac:dyDescent="0.3">
      <c r="A130" s="1"/>
      <c r="B130" s="15" t="s">
        <v>31</v>
      </c>
      <c r="C130" s="25">
        <v>0</v>
      </c>
      <c r="D130" s="25">
        <v>0</v>
      </c>
      <c r="E130" s="25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5">
        <v>0</v>
      </c>
      <c r="O130" s="28">
        <f t="shared" si="71"/>
        <v>0</v>
      </c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thickBo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6.5" thickBot="1" x14ac:dyDescent="0.3">
      <c r="A133" s="1"/>
      <c r="B133" s="1"/>
      <c r="C133" s="199" t="s">
        <v>49</v>
      </c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199">
        <f>+[1]INICIO!M4</f>
        <v>2015</v>
      </c>
      <c r="O133" s="201"/>
    </row>
    <row r="134" spans="1:15" ht="15.75" thickBot="1" x14ac:dyDescent="0.3">
      <c r="A134" s="1"/>
      <c r="B134" s="7"/>
      <c r="C134" s="39">
        <v>31</v>
      </c>
      <c r="D134" s="39">
        <v>28</v>
      </c>
      <c r="E134" s="39">
        <v>31</v>
      </c>
      <c r="F134" s="39">
        <v>30</v>
      </c>
      <c r="G134" s="39">
        <v>31</v>
      </c>
      <c r="H134" s="39">
        <v>30</v>
      </c>
      <c r="I134" s="39">
        <v>31</v>
      </c>
      <c r="J134" s="39">
        <v>31</v>
      </c>
      <c r="K134" s="39">
        <v>30</v>
      </c>
      <c r="L134" s="39">
        <v>31</v>
      </c>
      <c r="M134" s="39">
        <v>30</v>
      </c>
      <c r="N134" s="39">
        <v>31</v>
      </c>
      <c r="O134" s="86">
        <v>8</v>
      </c>
    </row>
    <row r="135" spans="1:15" ht="15.75" thickBot="1" x14ac:dyDescent="0.3">
      <c r="A135" s="1"/>
      <c r="B135" s="10" t="s">
        <v>57</v>
      </c>
      <c r="C135" s="11" t="s">
        <v>1</v>
      </c>
      <c r="D135" s="12" t="s">
        <v>2</v>
      </c>
      <c r="E135" s="12" t="s">
        <v>3</v>
      </c>
      <c r="F135" s="12" t="s">
        <v>4</v>
      </c>
      <c r="G135" s="12" t="s">
        <v>5</v>
      </c>
      <c r="H135" s="12" t="s">
        <v>6</v>
      </c>
      <c r="I135" s="12" t="s">
        <v>7</v>
      </c>
      <c r="J135" s="12" t="s">
        <v>8</v>
      </c>
      <c r="K135" s="13" t="s">
        <v>9</v>
      </c>
      <c r="L135" s="13" t="s">
        <v>10</v>
      </c>
      <c r="M135" s="13" t="s">
        <v>11</v>
      </c>
      <c r="N135" s="13" t="s">
        <v>12</v>
      </c>
      <c r="O135" s="14" t="s">
        <v>13</v>
      </c>
    </row>
    <row r="136" spans="1:15" ht="15.75" thickBot="1" x14ac:dyDescent="0.3">
      <c r="A136" s="1"/>
      <c r="B136" s="8" t="s">
        <v>14</v>
      </c>
      <c r="C136" s="44">
        <v>8</v>
      </c>
      <c r="D136" s="44">
        <v>8</v>
      </c>
      <c r="E136" s="44">
        <v>8</v>
      </c>
      <c r="F136" s="44">
        <v>8</v>
      </c>
      <c r="G136" s="44">
        <v>8</v>
      </c>
      <c r="H136" s="44">
        <v>8</v>
      </c>
      <c r="I136" s="44">
        <v>8</v>
      </c>
      <c r="J136" s="44">
        <v>8</v>
      </c>
      <c r="K136" s="44">
        <v>8</v>
      </c>
      <c r="L136" s="44">
        <v>8</v>
      </c>
      <c r="M136" s="44">
        <v>8</v>
      </c>
      <c r="N136" s="48">
        <v>8</v>
      </c>
      <c r="O136" s="36">
        <f>+AVERAGE(C136:N136)</f>
        <v>8</v>
      </c>
    </row>
    <row r="137" spans="1:15" ht="15.75" thickBot="1" x14ac:dyDescent="0.3">
      <c r="A137" s="1"/>
      <c r="B137" s="8" t="s">
        <v>70</v>
      </c>
      <c r="C137" s="32">
        <v>28</v>
      </c>
      <c r="D137" s="21">
        <v>15</v>
      </c>
      <c r="E137" s="21">
        <v>17</v>
      </c>
      <c r="F137" s="3">
        <v>20</v>
      </c>
      <c r="G137" s="3">
        <v>27</v>
      </c>
      <c r="H137" s="3">
        <v>29</v>
      </c>
      <c r="I137" s="3">
        <v>29</v>
      </c>
      <c r="J137" s="3">
        <v>22</v>
      </c>
      <c r="K137" s="3">
        <v>38</v>
      </c>
      <c r="L137" s="3">
        <v>36</v>
      </c>
      <c r="M137" s="3">
        <v>31</v>
      </c>
      <c r="N137" s="33">
        <v>28</v>
      </c>
      <c r="O137" s="18">
        <f t="shared" ref="O137:O142" si="72">+SUM(C137:N137)</f>
        <v>320</v>
      </c>
    </row>
    <row r="138" spans="1:15" ht="15.75" thickBot="1" x14ac:dyDescent="0.3">
      <c r="A138" s="1"/>
      <c r="B138" s="8" t="s">
        <v>16</v>
      </c>
      <c r="C138" s="32">
        <v>25</v>
      </c>
      <c r="D138" s="21">
        <v>18</v>
      </c>
      <c r="E138" s="21">
        <v>18</v>
      </c>
      <c r="F138" s="3">
        <v>21</v>
      </c>
      <c r="G138" s="3">
        <v>28</v>
      </c>
      <c r="H138" s="3">
        <v>27</v>
      </c>
      <c r="I138" s="3">
        <v>26</v>
      </c>
      <c r="J138" s="3">
        <v>25</v>
      </c>
      <c r="K138" s="3">
        <v>32</v>
      </c>
      <c r="L138" s="3">
        <v>32</v>
      </c>
      <c r="M138" s="3">
        <v>35</v>
      </c>
      <c r="N138" s="33">
        <v>30</v>
      </c>
      <c r="O138" s="18">
        <f t="shared" si="72"/>
        <v>317</v>
      </c>
    </row>
    <row r="139" spans="1:15" ht="15.75" thickBot="1" x14ac:dyDescent="0.3">
      <c r="A139" s="1"/>
      <c r="B139" s="8" t="s">
        <v>17</v>
      </c>
      <c r="C139" s="41">
        <f>+C134*C136</f>
        <v>248</v>
      </c>
      <c r="D139" s="41">
        <f t="shared" ref="D139:N139" si="73">+D134*D136</f>
        <v>224</v>
      </c>
      <c r="E139" s="41">
        <f t="shared" si="73"/>
        <v>248</v>
      </c>
      <c r="F139" s="41">
        <f t="shared" si="73"/>
        <v>240</v>
      </c>
      <c r="G139" s="41">
        <f t="shared" si="73"/>
        <v>248</v>
      </c>
      <c r="H139" s="41">
        <f t="shared" si="73"/>
        <v>240</v>
      </c>
      <c r="I139" s="41">
        <f t="shared" si="73"/>
        <v>248</v>
      </c>
      <c r="J139" s="41">
        <f t="shared" si="73"/>
        <v>248</v>
      </c>
      <c r="K139" s="41">
        <f t="shared" si="73"/>
        <v>240</v>
      </c>
      <c r="L139" s="41">
        <f t="shared" si="73"/>
        <v>248</v>
      </c>
      <c r="M139" s="41">
        <f t="shared" si="73"/>
        <v>240</v>
      </c>
      <c r="N139" s="41">
        <f t="shared" si="73"/>
        <v>248</v>
      </c>
      <c r="O139" s="18">
        <f t="shared" si="72"/>
        <v>2920</v>
      </c>
    </row>
    <row r="140" spans="1:15" ht="15.75" thickBot="1" x14ac:dyDescent="0.3">
      <c r="A140" s="1"/>
      <c r="B140" s="8" t="s">
        <v>18</v>
      </c>
      <c r="C140" s="32">
        <v>85</v>
      </c>
      <c r="D140" s="21">
        <v>67</v>
      </c>
      <c r="E140" s="21">
        <v>60</v>
      </c>
      <c r="F140" s="3">
        <v>82</v>
      </c>
      <c r="G140" s="3">
        <v>76</v>
      </c>
      <c r="H140" s="3">
        <v>93</v>
      </c>
      <c r="I140" s="3">
        <v>101</v>
      </c>
      <c r="J140" s="3">
        <v>111</v>
      </c>
      <c r="K140" s="3">
        <v>126</v>
      </c>
      <c r="L140" s="3">
        <v>102</v>
      </c>
      <c r="M140" s="3">
        <v>122</v>
      </c>
      <c r="N140" s="33">
        <v>121</v>
      </c>
      <c r="O140" s="18">
        <f t="shared" si="72"/>
        <v>1146</v>
      </c>
    </row>
    <row r="141" spans="1:15" ht="15.75" thickBot="1" x14ac:dyDescent="0.3">
      <c r="A141" s="1"/>
      <c r="B141" s="8" t="s">
        <v>19</v>
      </c>
      <c r="C141" s="32">
        <v>85</v>
      </c>
      <c r="D141" s="21">
        <v>72</v>
      </c>
      <c r="E141" s="21">
        <v>69</v>
      </c>
      <c r="F141" s="3">
        <v>86</v>
      </c>
      <c r="G141" s="3">
        <v>83</v>
      </c>
      <c r="H141" s="3">
        <v>94</v>
      </c>
      <c r="I141" s="3">
        <v>110</v>
      </c>
      <c r="J141" s="3">
        <v>133</v>
      </c>
      <c r="K141" s="3">
        <v>126</v>
      </c>
      <c r="L141" s="3">
        <v>112</v>
      </c>
      <c r="M141" s="3">
        <v>153</v>
      </c>
      <c r="N141" s="33">
        <v>143</v>
      </c>
      <c r="O141" s="18">
        <f t="shared" si="72"/>
        <v>1266</v>
      </c>
    </row>
    <row r="142" spans="1:15" ht="15.75" thickBot="1" x14ac:dyDescent="0.3">
      <c r="A142" s="1"/>
      <c r="B142" s="9" t="s">
        <v>51</v>
      </c>
      <c r="C142" s="75">
        <v>78</v>
      </c>
      <c r="D142" s="76">
        <v>63</v>
      </c>
      <c r="E142" s="76">
        <v>55</v>
      </c>
      <c r="F142" s="77">
        <v>79</v>
      </c>
      <c r="G142" s="76">
        <v>124</v>
      </c>
      <c r="H142" s="76">
        <v>210</v>
      </c>
      <c r="I142" s="76">
        <v>221</v>
      </c>
      <c r="J142" s="76">
        <v>248</v>
      </c>
      <c r="K142" s="76">
        <v>272</v>
      </c>
      <c r="L142" s="76">
        <v>322</v>
      </c>
      <c r="M142" s="76">
        <v>158</v>
      </c>
      <c r="N142" s="78">
        <v>121</v>
      </c>
      <c r="O142" s="18">
        <f t="shared" si="72"/>
        <v>1951</v>
      </c>
    </row>
    <row r="143" spans="1:15" ht="15.75" thickBot="1" x14ac:dyDescent="0.3">
      <c r="A143" s="1"/>
      <c r="B143" s="38" t="s">
        <v>71</v>
      </c>
      <c r="C143" s="42">
        <f>+IF(C138&gt;0,C140/C138,"")</f>
        <v>3.4</v>
      </c>
      <c r="D143" s="42">
        <f t="shared" ref="D143:N143" si="74">+IF(D138&gt;0,D140/D138,"")</f>
        <v>3.7222222222222223</v>
      </c>
      <c r="E143" s="42">
        <f t="shared" si="74"/>
        <v>3.3333333333333335</v>
      </c>
      <c r="F143" s="42">
        <f t="shared" si="74"/>
        <v>3.9047619047619047</v>
      </c>
      <c r="G143" s="42">
        <f t="shared" si="74"/>
        <v>2.7142857142857144</v>
      </c>
      <c r="H143" s="42">
        <f t="shared" si="74"/>
        <v>3.4444444444444446</v>
      </c>
      <c r="I143" s="42">
        <f t="shared" si="74"/>
        <v>3.8846153846153846</v>
      </c>
      <c r="J143" s="42">
        <f t="shared" si="74"/>
        <v>4.4400000000000004</v>
      </c>
      <c r="K143" s="42">
        <f t="shared" si="74"/>
        <v>3.9375</v>
      </c>
      <c r="L143" s="42">
        <f t="shared" si="74"/>
        <v>3.1875</v>
      </c>
      <c r="M143" s="42">
        <f t="shared" si="74"/>
        <v>3.4857142857142858</v>
      </c>
      <c r="N143" s="46">
        <f t="shared" si="74"/>
        <v>4.0333333333333332</v>
      </c>
      <c r="O143" s="47">
        <f>+IF(O138&gt;0,O140/O138,"")</f>
        <v>3.6151419558359623</v>
      </c>
    </row>
    <row r="144" spans="1:15" ht="15.75" thickBot="1" x14ac:dyDescent="0.3">
      <c r="A144" s="1"/>
      <c r="B144" s="38" t="s">
        <v>21</v>
      </c>
      <c r="C144" s="70">
        <f t="shared" ref="C144:N144" si="75">+IF(C138&gt;0,C140/C138,"")</f>
        <v>3.4</v>
      </c>
      <c r="D144" s="71">
        <f t="shared" si="75"/>
        <v>3.7222222222222223</v>
      </c>
      <c r="E144" s="71">
        <f t="shared" si="75"/>
        <v>3.3333333333333335</v>
      </c>
      <c r="F144" s="71">
        <f t="shared" si="75"/>
        <v>3.9047619047619047</v>
      </c>
      <c r="G144" s="71">
        <f t="shared" si="75"/>
        <v>2.7142857142857144</v>
      </c>
      <c r="H144" s="71">
        <f t="shared" si="75"/>
        <v>3.4444444444444446</v>
      </c>
      <c r="I144" s="71">
        <f t="shared" si="75"/>
        <v>3.8846153846153846</v>
      </c>
      <c r="J144" s="71">
        <f t="shared" si="75"/>
        <v>4.4400000000000004</v>
      </c>
      <c r="K144" s="71">
        <f t="shared" si="75"/>
        <v>3.9375</v>
      </c>
      <c r="L144" s="71">
        <f t="shared" si="75"/>
        <v>3.1875</v>
      </c>
      <c r="M144" s="71">
        <f t="shared" si="75"/>
        <v>3.4857142857142858</v>
      </c>
      <c r="N144" s="73">
        <f t="shared" si="75"/>
        <v>4.0333333333333332</v>
      </c>
      <c r="O144" s="47">
        <f>+IF(O138&gt;0,O140/O138,"")</f>
        <v>3.6151419558359623</v>
      </c>
    </row>
    <row r="145" spans="1:15" ht="15.75" thickBot="1" x14ac:dyDescent="0.3">
      <c r="A145" s="1"/>
      <c r="B145" s="38" t="s">
        <v>72</v>
      </c>
      <c r="C145" s="42">
        <f>+IF(C140&gt;0,(C140/C139)*100,"")</f>
        <v>34.274193548387096</v>
      </c>
      <c r="D145" s="42">
        <f t="shared" ref="D145:N145" si="76">+IF(D140&gt;0,(D140/D139)*100,"")</f>
        <v>29.910714285714285</v>
      </c>
      <c r="E145" s="42">
        <f t="shared" si="76"/>
        <v>24.193548387096776</v>
      </c>
      <c r="F145" s="42">
        <f t="shared" si="76"/>
        <v>34.166666666666664</v>
      </c>
      <c r="G145" s="42">
        <f t="shared" si="76"/>
        <v>30.64516129032258</v>
      </c>
      <c r="H145" s="42">
        <f t="shared" si="76"/>
        <v>38.75</v>
      </c>
      <c r="I145" s="42">
        <f t="shared" si="76"/>
        <v>40.725806451612904</v>
      </c>
      <c r="J145" s="42">
        <f t="shared" si="76"/>
        <v>44.758064516129032</v>
      </c>
      <c r="K145" s="42">
        <f t="shared" si="76"/>
        <v>52.5</v>
      </c>
      <c r="L145" s="42">
        <f t="shared" si="76"/>
        <v>41.12903225806452</v>
      </c>
      <c r="M145" s="42">
        <f t="shared" si="76"/>
        <v>50.833333333333329</v>
      </c>
      <c r="N145" s="46">
        <f t="shared" si="76"/>
        <v>48.79032258064516</v>
      </c>
      <c r="O145" s="47">
        <f>+IF(O140&gt;0,(O140/O139)*100,"")</f>
        <v>39.246575342465754</v>
      </c>
    </row>
    <row r="146" spans="1:15" ht="15.75" thickBot="1" x14ac:dyDescent="0.3">
      <c r="A146" s="1"/>
      <c r="B146" s="38" t="s">
        <v>23</v>
      </c>
      <c r="C146" s="42">
        <f>+IF(C138&gt;0,C138/C136,"")</f>
        <v>3.125</v>
      </c>
      <c r="D146" s="42">
        <f t="shared" ref="D146:N146" si="77">+IF(D138&gt;0,D138/D136,"")</f>
        <v>2.25</v>
      </c>
      <c r="E146" s="42">
        <f t="shared" si="77"/>
        <v>2.25</v>
      </c>
      <c r="F146" s="42">
        <f t="shared" si="77"/>
        <v>2.625</v>
      </c>
      <c r="G146" s="42">
        <f t="shared" si="77"/>
        <v>3.5</v>
      </c>
      <c r="H146" s="42">
        <f t="shared" si="77"/>
        <v>3.375</v>
      </c>
      <c r="I146" s="42">
        <f t="shared" si="77"/>
        <v>3.25</v>
      </c>
      <c r="J146" s="42">
        <f t="shared" si="77"/>
        <v>3.125</v>
      </c>
      <c r="K146" s="42">
        <f t="shared" si="77"/>
        <v>4</v>
      </c>
      <c r="L146" s="42">
        <f t="shared" si="77"/>
        <v>4</v>
      </c>
      <c r="M146" s="42">
        <f t="shared" si="77"/>
        <v>4.375</v>
      </c>
      <c r="N146" s="46">
        <f t="shared" si="77"/>
        <v>3.75</v>
      </c>
      <c r="O146" s="87">
        <f>+IF(O138&gt;0,AVERAGE(C138:N138)/O136,"")</f>
        <v>3.3020833333333335</v>
      </c>
    </row>
    <row r="147" spans="1:15" ht="15.75" thickBot="1" x14ac:dyDescent="0.3">
      <c r="A147" s="1"/>
      <c r="B147" s="38" t="s">
        <v>24</v>
      </c>
      <c r="C147" s="42">
        <f>+IF(C138&gt;0,(C139-C142)/C138,"")</f>
        <v>6.8</v>
      </c>
      <c r="D147" s="42">
        <f t="shared" ref="D147:N147" si="78">+IF(D138&gt;0,(D139-D142)/D138,"")</f>
        <v>8.9444444444444446</v>
      </c>
      <c r="E147" s="42">
        <f t="shared" si="78"/>
        <v>10.722222222222221</v>
      </c>
      <c r="F147" s="42">
        <f t="shared" si="78"/>
        <v>7.666666666666667</v>
      </c>
      <c r="G147" s="42">
        <f t="shared" si="78"/>
        <v>4.4285714285714288</v>
      </c>
      <c r="H147" s="42">
        <f t="shared" si="78"/>
        <v>1.1111111111111112</v>
      </c>
      <c r="I147" s="42">
        <f t="shared" si="78"/>
        <v>1.0384615384615385</v>
      </c>
      <c r="J147" s="42">
        <f t="shared" si="78"/>
        <v>0</v>
      </c>
      <c r="K147" s="42">
        <f t="shared" si="78"/>
        <v>-1</v>
      </c>
      <c r="L147" s="42">
        <f>+IF(L138&gt;0,(L139-L142)/L138,"")</f>
        <v>-2.3125</v>
      </c>
      <c r="M147" s="42">
        <f t="shared" si="78"/>
        <v>2.342857142857143</v>
      </c>
      <c r="N147" s="42">
        <f t="shared" si="78"/>
        <v>4.2333333333333334</v>
      </c>
      <c r="O147" s="47">
        <f>+IF(O138&gt;0,(O139-O142)/O138,"")</f>
        <v>3.0567823343848581</v>
      </c>
    </row>
    <row r="148" spans="1:15" ht="15.75" thickBot="1" x14ac:dyDescent="0.3">
      <c r="A148" s="1"/>
      <c r="B148" s="38" t="s">
        <v>25</v>
      </c>
      <c r="C148" s="42">
        <f>+IF(C142&gt;0,(C142/C139)*100,"")</f>
        <v>31.451612903225808</v>
      </c>
      <c r="D148" s="42">
        <f t="shared" ref="D148:N148" si="79">+IF(D142&gt;0,(D142/D139)*100,"")</f>
        <v>28.125</v>
      </c>
      <c r="E148" s="42">
        <f t="shared" si="79"/>
        <v>22.177419354838708</v>
      </c>
      <c r="F148" s="42">
        <f t="shared" si="79"/>
        <v>32.916666666666664</v>
      </c>
      <c r="G148" s="42">
        <f t="shared" si="79"/>
        <v>50</v>
      </c>
      <c r="H148" s="42">
        <f t="shared" si="79"/>
        <v>87.5</v>
      </c>
      <c r="I148" s="42">
        <f t="shared" si="79"/>
        <v>89.112903225806448</v>
      </c>
      <c r="J148" s="42">
        <f t="shared" si="79"/>
        <v>100</v>
      </c>
      <c r="K148" s="42">
        <f t="shared" si="79"/>
        <v>113.33333333333333</v>
      </c>
      <c r="L148" s="42">
        <f t="shared" si="79"/>
        <v>129.83870967741936</v>
      </c>
      <c r="M148" s="42">
        <f t="shared" si="79"/>
        <v>65.833333333333329</v>
      </c>
      <c r="N148" s="46">
        <f t="shared" si="79"/>
        <v>48.79032258064516</v>
      </c>
      <c r="O148" s="47">
        <f>+IF(O142&gt;0,(O142/O139)*100,"")</f>
        <v>66.81506849315069</v>
      </c>
    </row>
    <row r="149" spans="1:15" ht="15.75" thickBot="1" x14ac:dyDescent="0.3">
      <c r="A149" s="1"/>
      <c r="B149" s="8" t="s">
        <v>26</v>
      </c>
      <c r="C149" s="41">
        <f>+SUM(C150:C151)</f>
        <v>0</v>
      </c>
      <c r="D149" s="41">
        <f t="shared" ref="D149:N149" si="80">+SUM(D150:D151)</f>
        <v>1</v>
      </c>
      <c r="E149" s="41">
        <f t="shared" si="80"/>
        <v>0</v>
      </c>
      <c r="F149" s="41">
        <f t="shared" si="80"/>
        <v>0</v>
      </c>
      <c r="G149" s="41">
        <f t="shared" si="80"/>
        <v>0</v>
      </c>
      <c r="H149" s="41">
        <f t="shared" si="80"/>
        <v>0</v>
      </c>
      <c r="I149" s="41">
        <f t="shared" si="80"/>
        <v>0</v>
      </c>
      <c r="J149" s="41">
        <f t="shared" si="80"/>
        <v>0</v>
      </c>
      <c r="K149" s="41">
        <f t="shared" si="80"/>
        <v>0</v>
      </c>
      <c r="L149" s="41">
        <f t="shared" si="80"/>
        <v>0</v>
      </c>
      <c r="M149" s="41">
        <f t="shared" si="80"/>
        <v>0</v>
      </c>
      <c r="N149" s="41">
        <f t="shared" si="80"/>
        <v>0</v>
      </c>
      <c r="O149" s="18">
        <f t="shared" ref="O149:O152" si="81">+SUM(C149:N149)</f>
        <v>1</v>
      </c>
    </row>
    <row r="150" spans="1:15" ht="15.75" thickBot="1" x14ac:dyDescent="0.3">
      <c r="A150" s="1"/>
      <c r="B150" s="8" t="s">
        <v>52</v>
      </c>
      <c r="C150" s="32">
        <v>0</v>
      </c>
      <c r="D150" s="21">
        <v>0</v>
      </c>
      <c r="E150" s="21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3">
        <v>0</v>
      </c>
      <c r="O150" s="18">
        <f t="shared" si="81"/>
        <v>0</v>
      </c>
    </row>
    <row r="151" spans="1:15" ht="15.75" thickBot="1" x14ac:dyDescent="0.3">
      <c r="A151" s="1"/>
      <c r="B151" s="8" t="s">
        <v>53</v>
      </c>
      <c r="C151" s="32">
        <v>0</v>
      </c>
      <c r="D151" s="21">
        <v>1</v>
      </c>
      <c r="E151" s="21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3">
        <v>0</v>
      </c>
      <c r="O151" s="18">
        <f t="shared" si="81"/>
        <v>1</v>
      </c>
    </row>
    <row r="152" spans="1:15" ht="15.75" thickBot="1" x14ac:dyDescent="0.3">
      <c r="A152" s="1"/>
      <c r="B152" s="15" t="s">
        <v>31</v>
      </c>
      <c r="C152" s="25">
        <v>0</v>
      </c>
      <c r="D152" s="25">
        <v>0</v>
      </c>
      <c r="E152" s="25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5">
        <v>0</v>
      </c>
      <c r="O152" s="28">
        <f t="shared" si="81"/>
        <v>0</v>
      </c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thickBo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6.5" thickBot="1" x14ac:dyDescent="0.3">
      <c r="A155" s="1"/>
      <c r="B155" s="1"/>
      <c r="C155" s="199" t="s">
        <v>49</v>
      </c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199">
        <f>+[1]INICIO!M4</f>
        <v>2015</v>
      </c>
      <c r="O155" s="201"/>
    </row>
    <row r="156" spans="1:15" ht="15.75" thickBot="1" x14ac:dyDescent="0.3">
      <c r="A156" s="1"/>
      <c r="B156" s="7"/>
      <c r="C156" s="39">
        <v>31</v>
      </c>
      <c r="D156" s="39">
        <v>28</v>
      </c>
      <c r="E156" s="39">
        <v>31</v>
      </c>
      <c r="F156" s="39">
        <v>30</v>
      </c>
      <c r="G156" s="39">
        <v>31</v>
      </c>
      <c r="H156" s="39">
        <v>30</v>
      </c>
      <c r="I156" s="39">
        <v>31</v>
      </c>
      <c r="J156" s="39">
        <v>31</v>
      </c>
      <c r="K156" s="39">
        <v>30</v>
      </c>
      <c r="L156" s="39">
        <v>31</v>
      </c>
      <c r="M156" s="39">
        <v>30</v>
      </c>
      <c r="N156" s="39">
        <v>31</v>
      </c>
      <c r="O156" s="40">
        <v>31</v>
      </c>
    </row>
    <row r="157" spans="1:15" ht="15.75" thickBot="1" x14ac:dyDescent="0.3">
      <c r="A157" s="1"/>
      <c r="B157" s="10" t="s">
        <v>58</v>
      </c>
      <c r="C157" s="11" t="s">
        <v>1</v>
      </c>
      <c r="D157" s="12" t="s">
        <v>2</v>
      </c>
      <c r="E157" s="12" t="s">
        <v>3</v>
      </c>
      <c r="F157" s="12" t="s">
        <v>4</v>
      </c>
      <c r="G157" s="12" t="s">
        <v>5</v>
      </c>
      <c r="H157" s="12" t="s">
        <v>6</v>
      </c>
      <c r="I157" s="12" t="s">
        <v>7</v>
      </c>
      <c r="J157" s="12" t="s">
        <v>8</v>
      </c>
      <c r="K157" s="13" t="s">
        <v>9</v>
      </c>
      <c r="L157" s="13" t="s">
        <v>10</v>
      </c>
      <c r="M157" s="13" t="s">
        <v>11</v>
      </c>
      <c r="N157" s="13" t="s">
        <v>12</v>
      </c>
      <c r="O157" s="37" t="s">
        <v>13</v>
      </c>
    </row>
    <row r="158" spans="1:15" ht="15.75" thickBot="1" x14ac:dyDescent="0.3">
      <c r="A158" s="1"/>
      <c r="B158" s="8" t="s">
        <v>14</v>
      </c>
      <c r="C158" s="44">
        <v>31</v>
      </c>
      <c r="D158" s="44">
        <v>31</v>
      </c>
      <c r="E158" s="44">
        <v>31</v>
      </c>
      <c r="F158" s="44">
        <v>31</v>
      </c>
      <c r="G158" s="44">
        <v>31</v>
      </c>
      <c r="H158" s="44">
        <v>31</v>
      </c>
      <c r="I158" s="44">
        <v>31</v>
      </c>
      <c r="J158" s="44">
        <v>31</v>
      </c>
      <c r="K158" s="44">
        <v>31</v>
      </c>
      <c r="L158" s="44">
        <v>31</v>
      </c>
      <c r="M158" s="44">
        <v>31</v>
      </c>
      <c r="N158" s="48">
        <v>31</v>
      </c>
      <c r="O158" s="36">
        <f>+AVERAGE(C158:N158)</f>
        <v>31</v>
      </c>
    </row>
    <row r="159" spans="1:15" ht="15.75" thickBot="1" x14ac:dyDescent="0.3">
      <c r="A159" s="1"/>
      <c r="B159" s="8" t="s">
        <v>70</v>
      </c>
      <c r="C159" s="29">
        <v>357</v>
      </c>
      <c r="D159" s="30">
        <v>333</v>
      </c>
      <c r="E159" s="30">
        <v>381</v>
      </c>
      <c r="F159" s="30">
        <v>352</v>
      </c>
      <c r="G159" s="30">
        <v>398</v>
      </c>
      <c r="H159" s="30">
        <v>348</v>
      </c>
      <c r="I159" s="30">
        <v>361</v>
      </c>
      <c r="J159" s="30">
        <v>366</v>
      </c>
      <c r="K159" s="30">
        <v>351</v>
      </c>
      <c r="L159" s="30">
        <v>355</v>
      </c>
      <c r="M159" s="30">
        <v>338</v>
      </c>
      <c r="N159" s="31">
        <v>348</v>
      </c>
      <c r="O159" s="18">
        <f t="shared" ref="O159:O164" si="82">+SUM(C159:N159)</f>
        <v>4288</v>
      </c>
    </row>
    <row r="160" spans="1:15" ht="15.75" thickBot="1" x14ac:dyDescent="0.3">
      <c r="A160" s="1"/>
      <c r="B160" s="8" t="s">
        <v>16</v>
      </c>
      <c r="C160" s="29">
        <v>351</v>
      </c>
      <c r="D160" s="30">
        <v>331</v>
      </c>
      <c r="E160" s="30">
        <v>379</v>
      </c>
      <c r="F160" s="30">
        <v>343</v>
      </c>
      <c r="G160" s="30">
        <v>404</v>
      </c>
      <c r="H160" s="30">
        <v>345</v>
      </c>
      <c r="I160" s="30">
        <v>362</v>
      </c>
      <c r="J160" s="30">
        <v>370</v>
      </c>
      <c r="K160" s="30">
        <v>356</v>
      </c>
      <c r="L160" s="30">
        <v>354</v>
      </c>
      <c r="M160" s="30">
        <v>335</v>
      </c>
      <c r="N160" s="31">
        <v>357</v>
      </c>
      <c r="O160" s="18">
        <f t="shared" si="82"/>
        <v>4287</v>
      </c>
    </row>
    <row r="161" spans="1:15" ht="15.75" thickBot="1" x14ac:dyDescent="0.3">
      <c r="A161" s="1"/>
      <c r="B161" s="8" t="s">
        <v>17</v>
      </c>
      <c r="C161" s="44">
        <f>+C156*C158</f>
        <v>961</v>
      </c>
      <c r="D161" s="44">
        <f t="shared" ref="D161:N161" si="83">+D156*D158</f>
        <v>868</v>
      </c>
      <c r="E161" s="44">
        <f t="shared" si="83"/>
        <v>961</v>
      </c>
      <c r="F161" s="44">
        <f t="shared" si="83"/>
        <v>930</v>
      </c>
      <c r="G161" s="44">
        <f t="shared" si="83"/>
        <v>961</v>
      </c>
      <c r="H161" s="44">
        <f t="shared" si="83"/>
        <v>930</v>
      </c>
      <c r="I161" s="44">
        <f t="shared" si="83"/>
        <v>961</v>
      </c>
      <c r="J161" s="44">
        <f t="shared" si="83"/>
        <v>961</v>
      </c>
      <c r="K161" s="44">
        <f t="shared" si="83"/>
        <v>930</v>
      </c>
      <c r="L161" s="44">
        <f t="shared" si="83"/>
        <v>961</v>
      </c>
      <c r="M161" s="44">
        <f t="shared" si="83"/>
        <v>930</v>
      </c>
      <c r="N161" s="44">
        <f t="shared" si="83"/>
        <v>961</v>
      </c>
      <c r="O161" s="18">
        <f t="shared" si="82"/>
        <v>11315</v>
      </c>
    </row>
    <row r="162" spans="1:15" ht="15.75" thickBot="1" x14ac:dyDescent="0.3">
      <c r="A162" s="1"/>
      <c r="B162" s="8" t="s">
        <v>18</v>
      </c>
      <c r="C162" s="29">
        <v>726</v>
      </c>
      <c r="D162" s="30">
        <v>649</v>
      </c>
      <c r="E162" s="30">
        <v>736</v>
      </c>
      <c r="F162" s="30">
        <v>660</v>
      </c>
      <c r="G162" s="30">
        <v>722</v>
      </c>
      <c r="H162" s="30">
        <v>668</v>
      </c>
      <c r="I162" s="30">
        <v>832</v>
      </c>
      <c r="J162" s="30">
        <v>753</v>
      </c>
      <c r="K162" s="30">
        <v>646</v>
      </c>
      <c r="L162" s="30">
        <v>695</v>
      </c>
      <c r="M162" s="30">
        <v>659</v>
      </c>
      <c r="N162" s="31">
        <v>687</v>
      </c>
      <c r="O162" s="18">
        <f t="shared" si="82"/>
        <v>8433</v>
      </c>
    </row>
    <row r="163" spans="1:15" ht="15.75" thickBot="1" x14ac:dyDescent="0.3">
      <c r="A163" s="1"/>
      <c r="B163" s="8" t="s">
        <v>19</v>
      </c>
      <c r="C163" s="29">
        <v>736</v>
      </c>
      <c r="D163" s="30">
        <v>676</v>
      </c>
      <c r="E163" s="30">
        <v>819</v>
      </c>
      <c r="F163" s="30">
        <v>691</v>
      </c>
      <c r="G163" s="30">
        <v>787</v>
      </c>
      <c r="H163" s="30">
        <v>688</v>
      </c>
      <c r="I163" s="30">
        <v>781</v>
      </c>
      <c r="J163" s="30">
        <v>765</v>
      </c>
      <c r="K163" s="30">
        <v>669</v>
      </c>
      <c r="L163" s="30">
        <v>726</v>
      </c>
      <c r="M163" s="30">
        <v>672</v>
      </c>
      <c r="N163" s="31">
        <v>732</v>
      </c>
      <c r="O163" s="18">
        <f t="shared" si="82"/>
        <v>8742</v>
      </c>
    </row>
    <row r="164" spans="1:15" ht="15.75" thickBot="1" x14ac:dyDescent="0.3">
      <c r="A164" s="1"/>
      <c r="B164" s="8" t="s">
        <v>59</v>
      </c>
      <c r="C164" s="80">
        <v>789</v>
      </c>
      <c r="D164" s="81">
        <v>738</v>
      </c>
      <c r="E164" s="81">
        <v>376</v>
      </c>
      <c r="F164" s="81">
        <v>591</v>
      </c>
      <c r="G164" s="81">
        <v>888</v>
      </c>
      <c r="H164" s="81">
        <v>872</v>
      </c>
      <c r="I164" s="81">
        <v>945</v>
      </c>
      <c r="J164" s="81">
        <v>923</v>
      </c>
      <c r="K164" s="81">
        <v>875</v>
      </c>
      <c r="L164" s="81">
        <v>815</v>
      </c>
      <c r="M164" s="81">
        <v>771</v>
      </c>
      <c r="N164" s="82">
        <v>801</v>
      </c>
      <c r="O164" s="18">
        <f t="shared" si="82"/>
        <v>9384</v>
      </c>
    </row>
    <row r="165" spans="1:15" ht="15.75" thickBot="1" x14ac:dyDescent="0.3">
      <c r="A165" s="1"/>
      <c r="B165" s="38" t="s">
        <v>71</v>
      </c>
      <c r="C165" s="42">
        <f>+IF(C160&gt;0,C162/C160,"")</f>
        <v>2.0683760683760686</v>
      </c>
      <c r="D165" s="42">
        <f t="shared" ref="D165:N165" si="84">+IF(D160&gt;0,D162/D160,"")</f>
        <v>1.9607250755287009</v>
      </c>
      <c r="E165" s="42">
        <f t="shared" si="84"/>
        <v>1.9419525065963061</v>
      </c>
      <c r="F165" s="42">
        <f t="shared" si="84"/>
        <v>1.9241982507288631</v>
      </c>
      <c r="G165" s="42">
        <f t="shared" si="84"/>
        <v>1.7871287128712872</v>
      </c>
      <c r="H165" s="42">
        <f t="shared" si="84"/>
        <v>1.9362318840579711</v>
      </c>
      <c r="I165" s="42">
        <f t="shared" si="84"/>
        <v>2.298342541436464</v>
      </c>
      <c r="J165" s="42">
        <f t="shared" si="84"/>
        <v>2.035135135135135</v>
      </c>
      <c r="K165" s="42">
        <f t="shared" si="84"/>
        <v>1.8146067415730338</v>
      </c>
      <c r="L165" s="42">
        <f t="shared" si="84"/>
        <v>1.963276836158192</v>
      </c>
      <c r="M165" s="42">
        <f t="shared" si="84"/>
        <v>1.9671641791044776</v>
      </c>
      <c r="N165" s="46">
        <f t="shared" si="84"/>
        <v>1.9243697478991597</v>
      </c>
      <c r="O165" s="47">
        <f>+IF(O160&gt;0,O162/O160,"")</f>
        <v>1.9671098670398881</v>
      </c>
    </row>
    <row r="166" spans="1:15" ht="15.75" thickBot="1" x14ac:dyDescent="0.3">
      <c r="A166" s="1"/>
      <c r="B166" s="38" t="s">
        <v>21</v>
      </c>
      <c r="C166" s="70">
        <f t="shared" ref="C166:M166" si="85">+IF(C160&gt;0,C162/C160,"")</f>
        <v>2.0683760683760686</v>
      </c>
      <c r="D166" s="71">
        <f t="shared" si="85"/>
        <v>1.9607250755287009</v>
      </c>
      <c r="E166" s="71">
        <f t="shared" si="85"/>
        <v>1.9419525065963061</v>
      </c>
      <c r="F166" s="71">
        <f t="shared" si="85"/>
        <v>1.9241982507288631</v>
      </c>
      <c r="G166" s="71">
        <f t="shared" si="85"/>
        <v>1.7871287128712872</v>
      </c>
      <c r="H166" s="71">
        <f t="shared" si="85"/>
        <v>1.9362318840579711</v>
      </c>
      <c r="I166" s="71">
        <f t="shared" si="85"/>
        <v>2.298342541436464</v>
      </c>
      <c r="J166" s="71">
        <f t="shared" si="85"/>
        <v>2.035135135135135</v>
      </c>
      <c r="K166" s="71">
        <f t="shared" si="85"/>
        <v>1.8146067415730338</v>
      </c>
      <c r="L166" s="71">
        <f t="shared" si="85"/>
        <v>1.963276836158192</v>
      </c>
      <c r="M166" s="71">
        <f t="shared" si="85"/>
        <v>1.9671641791044776</v>
      </c>
      <c r="N166" s="73">
        <f>+IF(N160&gt;0,N162/N160,"")</f>
        <v>1.9243697478991597</v>
      </c>
      <c r="O166" s="47">
        <f>+IF(O160&gt;0,O162/O160,"")</f>
        <v>1.9671098670398881</v>
      </c>
    </row>
    <row r="167" spans="1:15" ht="15.75" thickBot="1" x14ac:dyDescent="0.3">
      <c r="A167" s="1"/>
      <c r="B167" s="38" t="s">
        <v>72</v>
      </c>
      <c r="C167" s="42">
        <f>+IF(C162&gt;0,(C162/C161)*100,"")</f>
        <v>75.546305931321541</v>
      </c>
      <c r="D167" s="42">
        <f t="shared" ref="D167:N167" si="86">+IF(D162&gt;0,(D162/D161)*100,"")</f>
        <v>74.769585253456214</v>
      </c>
      <c r="E167" s="42">
        <f t="shared" si="86"/>
        <v>76.586888657648274</v>
      </c>
      <c r="F167" s="42">
        <f t="shared" si="86"/>
        <v>70.967741935483872</v>
      </c>
      <c r="G167" s="42">
        <f t="shared" si="86"/>
        <v>75.130072840790845</v>
      </c>
      <c r="H167" s="42">
        <f t="shared" si="86"/>
        <v>71.827956989247312</v>
      </c>
      <c r="I167" s="42">
        <f t="shared" si="86"/>
        <v>86.576482830385018</v>
      </c>
      <c r="J167" s="42">
        <f t="shared" si="86"/>
        <v>78.355879292403742</v>
      </c>
      <c r="K167" s="42">
        <f t="shared" si="86"/>
        <v>69.462365591397841</v>
      </c>
      <c r="L167" s="42">
        <f t="shared" si="86"/>
        <v>72.32049947970863</v>
      </c>
      <c r="M167" s="42">
        <f t="shared" si="86"/>
        <v>70.86021505376344</v>
      </c>
      <c r="N167" s="46">
        <f t="shared" si="86"/>
        <v>71.488033298647252</v>
      </c>
      <c r="O167" s="47">
        <f>+IF(O162&gt;0,(O162/O161)*100,"")</f>
        <v>74.529385771100308</v>
      </c>
    </row>
    <row r="168" spans="1:15" ht="15.75" thickBot="1" x14ac:dyDescent="0.3">
      <c r="A168" s="1"/>
      <c r="B168" s="38" t="s">
        <v>23</v>
      </c>
      <c r="C168" s="42">
        <f>+IF(C160&gt;0,C160/C158,"")</f>
        <v>11.32258064516129</v>
      </c>
      <c r="D168" s="42">
        <f t="shared" ref="D168:M168" si="87">+IF(D160&gt;0,D160/D158,"")</f>
        <v>10.67741935483871</v>
      </c>
      <c r="E168" s="42">
        <f t="shared" si="87"/>
        <v>12.225806451612904</v>
      </c>
      <c r="F168" s="42">
        <f t="shared" si="87"/>
        <v>11.064516129032258</v>
      </c>
      <c r="G168" s="42">
        <f t="shared" si="87"/>
        <v>13.03225806451613</v>
      </c>
      <c r="H168" s="42">
        <f t="shared" si="87"/>
        <v>11.129032258064516</v>
      </c>
      <c r="I168" s="42">
        <f t="shared" si="87"/>
        <v>11.67741935483871</v>
      </c>
      <c r="J168" s="42">
        <f t="shared" si="87"/>
        <v>11.935483870967742</v>
      </c>
      <c r="K168" s="42">
        <f t="shared" si="87"/>
        <v>11.483870967741936</v>
      </c>
      <c r="L168" s="42">
        <f t="shared" si="87"/>
        <v>11.419354838709678</v>
      </c>
      <c r="M168" s="42">
        <f t="shared" si="87"/>
        <v>10.806451612903226</v>
      </c>
      <c r="N168" s="46">
        <f>+IF(N160&gt;0,N160/N158,"")</f>
        <v>11.516129032258064</v>
      </c>
      <c r="O168" s="87">
        <f>+IF(O160&gt;0,AVERAGE(C160:N160)/O158,"")</f>
        <v>11.524193548387096</v>
      </c>
    </row>
    <row r="169" spans="1:15" ht="15.75" thickBot="1" x14ac:dyDescent="0.3">
      <c r="A169" s="1"/>
      <c r="B169" s="38" t="s">
        <v>24</v>
      </c>
      <c r="C169" s="42">
        <f>+IF(C160&gt;0,(C161-C164)/C160,"")</f>
        <v>0.49002849002849003</v>
      </c>
      <c r="D169" s="42">
        <f t="shared" ref="D169:N169" si="88">+IF(D160&gt;0,(D161-D164)/D160,"")</f>
        <v>0.39274924471299094</v>
      </c>
      <c r="E169" s="42">
        <f t="shared" si="88"/>
        <v>1.5435356200527703</v>
      </c>
      <c r="F169" s="42">
        <f t="shared" si="88"/>
        <v>0.98833819241982512</v>
      </c>
      <c r="G169" s="42">
        <f t="shared" si="88"/>
        <v>0.18069306930693069</v>
      </c>
      <c r="H169" s="42">
        <f t="shared" si="88"/>
        <v>0.1681159420289855</v>
      </c>
      <c r="I169" s="42">
        <f t="shared" si="88"/>
        <v>4.4198895027624308E-2</v>
      </c>
      <c r="J169" s="42">
        <f t="shared" si="88"/>
        <v>0.10270270270270271</v>
      </c>
      <c r="K169" s="42">
        <f t="shared" si="88"/>
        <v>0.1544943820224719</v>
      </c>
      <c r="L169" s="42">
        <f t="shared" si="88"/>
        <v>0.41242937853107342</v>
      </c>
      <c r="M169" s="42">
        <f t="shared" si="88"/>
        <v>0.47462686567164181</v>
      </c>
      <c r="N169" s="42">
        <f t="shared" si="88"/>
        <v>0.44817927170868349</v>
      </c>
      <c r="O169" s="47">
        <f>+IF(O160&gt;0,(O161-O164)/O160,"")</f>
        <v>0.45043153720550499</v>
      </c>
    </row>
    <row r="170" spans="1:15" ht="15.75" thickBot="1" x14ac:dyDescent="0.3">
      <c r="A170" s="1"/>
      <c r="B170" s="38" t="s">
        <v>25</v>
      </c>
      <c r="C170" s="42">
        <f>+IF(C164&gt;0,(C164/C161)*100,"")</f>
        <v>82.101977107180019</v>
      </c>
      <c r="D170" s="42">
        <f t="shared" ref="D170:N170" si="89">+IF(D164&gt;0,(D164/D161)*100,"")</f>
        <v>85.023041474654377</v>
      </c>
      <c r="E170" s="42">
        <f t="shared" si="89"/>
        <v>39.125910509885536</v>
      </c>
      <c r="F170" s="42">
        <f t="shared" si="89"/>
        <v>63.548387096774192</v>
      </c>
      <c r="G170" s="42">
        <f t="shared" si="89"/>
        <v>92.403746097814775</v>
      </c>
      <c r="H170" s="42">
        <f t="shared" si="89"/>
        <v>93.763440860215056</v>
      </c>
      <c r="I170" s="42">
        <f t="shared" si="89"/>
        <v>98.335067637877216</v>
      </c>
      <c r="J170" s="42">
        <f t="shared" si="89"/>
        <v>96.045785639958382</v>
      </c>
      <c r="K170" s="42">
        <f t="shared" si="89"/>
        <v>94.086021505376351</v>
      </c>
      <c r="L170" s="42">
        <f t="shared" si="89"/>
        <v>84.80749219562955</v>
      </c>
      <c r="M170" s="42">
        <f t="shared" si="89"/>
        <v>82.903225806451601</v>
      </c>
      <c r="N170" s="46">
        <f t="shared" si="89"/>
        <v>83.350676378772121</v>
      </c>
      <c r="O170" s="47">
        <f>+IF(O164&gt;0,(O164/O161)*100,"")</f>
        <v>82.934158197083519</v>
      </c>
    </row>
    <row r="171" spans="1:15" ht="15.75" thickBot="1" x14ac:dyDescent="0.3">
      <c r="A171" s="1"/>
      <c r="B171" s="8" t="s">
        <v>26</v>
      </c>
      <c r="C171" s="44">
        <f>+SUM(C173)</f>
        <v>0</v>
      </c>
      <c r="D171" s="44">
        <f t="shared" ref="D171:N171" si="90">+SUM(D173)</f>
        <v>0</v>
      </c>
      <c r="E171" s="44">
        <f t="shared" si="90"/>
        <v>0</v>
      </c>
      <c r="F171" s="44">
        <f t="shared" si="90"/>
        <v>0</v>
      </c>
      <c r="G171" s="44">
        <f t="shared" si="90"/>
        <v>0</v>
      </c>
      <c r="H171" s="44">
        <f t="shared" si="90"/>
        <v>0</v>
      </c>
      <c r="I171" s="44">
        <f t="shared" si="90"/>
        <v>0</v>
      </c>
      <c r="J171" s="44">
        <f t="shared" si="90"/>
        <v>0</v>
      </c>
      <c r="K171" s="44">
        <f t="shared" si="90"/>
        <v>0</v>
      </c>
      <c r="L171" s="44">
        <f t="shared" si="90"/>
        <v>0</v>
      </c>
      <c r="M171" s="44">
        <f t="shared" si="90"/>
        <v>0</v>
      </c>
      <c r="N171" s="48">
        <f t="shared" si="90"/>
        <v>0</v>
      </c>
      <c r="O171" s="16">
        <f t="shared" ref="O171:O187" si="91">+SUM(C171:N171)</f>
        <v>0</v>
      </c>
    </row>
    <row r="172" spans="1:15" ht="15.75" thickBot="1" x14ac:dyDescent="0.3">
      <c r="A172" s="1"/>
      <c r="B172" s="8" t="s">
        <v>27</v>
      </c>
      <c r="C172" s="49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6">
        <v>0</v>
      </c>
      <c r="O172" s="16">
        <f t="shared" si="91"/>
        <v>0</v>
      </c>
    </row>
    <row r="173" spans="1:15" ht="15.75" thickBot="1" x14ac:dyDescent="0.3">
      <c r="A173" s="1"/>
      <c r="B173" s="8" t="s">
        <v>28</v>
      </c>
      <c r="C173" s="49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6">
        <v>0</v>
      </c>
      <c r="O173" s="16">
        <f t="shared" si="91"/>
        <v>0</v>
      </c>
    </row>
    <row r="174" spans="1:15" ht="15.75" thickBot="1" x14ac:dyDescent="0.3">
      <c r="A174" s="1"/>
      <c r="B174" s="8" t="s">
        <v>31</v>
      </c>
      <c r="C174" s="49">
        <v>2</v>
      </c>
      <c r="D174" s="50">
        <v>0</v>
      </c>
      <c r="E174" s="50">
        <v>1</v>
      </c>
      <c r="F174" s="50">
        <v>4</v>
      </c>
      <c r="G174" s="50">
        <v>1</v>
      </c>
      <c r="H174" s="50">
        <v>0</v>
      </c>
      <c r="I174" s="50">
        <v>0</v>
      </c>
      <c r="J174" s="50">
        <v>2</v>
      </c>
      <c r="K174" s="50">
        <v>2</v>
      </c>
      <c r="L174" s="50">
        <v>1</v>
      </c>
      <c r="M174" s="50">
        <v>4</v>
      </c>
      <c r="N174" s="56">
        <v>2</v>
      </c>
      <c r="O174" s="16">
        <f t="shared" si="91"/>
        <v>19</v>
      </c>
    </row>
    <row r="175" spans="1:15" ht="15.75" thickBot="1" x14ac:dyDescent="0.3">
      <c r="A175" s="1"/>
      <c r="B175" s="8" t="s">
        <v>60</v>
      </c>
      <c r="C175" s="49">
        <v>245</v>
      </c>
      <c r="D175" s="50">
        <v>227</v>
      </c>
      <c r="E175" s="50">
        <v>256</v>
      </c>
      <c r="F175" s="50">
        <v>236</v>
      </c>
      <c r="G175" s="50">
        <v>274</v>
      </c>
      <c r="H175" s="50">
        <v>249</v>
      </c>
      <c r="I175" s="50">
        <v>259</v>
      </c>
      <c r="J175" s="50">
        <v>239</v>
      </c>
      <c r="K175" s="50">
        <v>253</v>
      </c>
      <c r="L175" s="50">
        <v>238</v>
      </c>
      <c r="M175" s="50">
        <v>231</v>
      </c>
      <c r="N175" s="56">
        <v>256</v>
      </c>
      <c r="O175" s="16">
        <f t="shared" si="91"/>
        <v>2963</v>
      </c>
    </row>
    <row r="176" spans="1:15" ht="15.75" thickBot="1" x14ac:dyDescent="0.3">
      <c r="A176" s="1"/>
      <c r="B176" s="8" t="s">
        <v>34</v>
      </c>
      <c r="C176" s="49">
        <v>244</v>
      </c>
      <c r="D176" s="50">
        <v>226</v>
      </c>
      <c r="E176" s="50">
        <v>256</v>
      </c>
      <c r="F176" s="50">
        <v>236</v>
      </c>
      <c r="G176" s="50">
        <v>270</v>
      </c>
      <c r="H176" s="50">
        <v>251</v>
      </c>
      <c r="I176" s="50">
        <v>256</v>
      </c>
      <c r="J176" s="50">
        <v>241</v>
      </c>
      <c r="K176" s="50">
        <v>254</v>
      </c>
      <c r="L176" s="50">
        <v>240</v>
      </c>
      <c r="M176" s="50">
        <v>229</v>
      </c>
      <c r="N176" s="56">
        <v>258</v>
      </c>
      <c r="O176" s="16">
        <f t="shared" si="91"/>
        <v>2961</v>
      </c>
    </row>
    <row r="177" spans="1:15" ht="15.75" thickBot="1" x14ac:dyDescent="0.3">
      <c r="A177" s="1"/>
      <c r="B177" s="8" t="s">
        <v>35</v>
      </c>
      <c r="C177" s="49">
        <v>59</v>
      </c>
      <c r="D177" s="50">
        <v>43</v>
      </c>
      <c r="E177" s="50">
        <v>50</v>
      </c>
      <c r="F177" s="50">
        <v>49</v>
      </c>
      <c r="G177" s="50">
        <v>63</v>
      </c>
      <c r="H177" s="50">
        <v>52</v>
      </c>
      <c r="I177" s="50">
        <v>45</v>
      </c>
      <c r="J177" s="50">
        <v>67</v>
      </c>
      <c r="K177" s="50">
        <v>58</v>
      </c>
      <c r="L177" s="50">
        <v>58</v>
      </c>
      <c r="M177" s="50">
        <v>48</v>
      </c>
      <c r="N177" s="56">
        <v>45</v>
      </c>
      <c r="O177" s="16">
        <f t="shared" si="91"/>
        <v>637</v>
      </c>
    </row>
    <row r="178" spans="1:15" ht="15.75" thickBot="1" x14ac:dyDescent="0.3">
      <c r="A178" s="1"/>
      <c r="B178" s="8" t="s">
        <v>36</v>
      </c>
      <c r="C178" s="49">
        <v>91</v>
      </c>
      <c r="D178" s="50">
        <v>72</v>
      </c>
      <c r="E178" s="50">
        <v>93</v>
      </c>
      <c r="F178" s="50">
        <v>85</v>
      </c>
      <c r="G178" s="50">
        <v>93</v>
      </c>
      <c r="H178" s="50">
        <v>96</v>
      </c>
      <c r="I178" s="50">
        <v>95</v>
      </c>
      <c r="J178" s="50">
        <v>103</v>
      </c>
      <c r="K178" s="50">
        <v>94</v>
      </c>
      <c r="L178" s="50">
        <v>95</v>
      </c>
      <c r="M178" s="50">
        <v>96</v>
      </c>
      <c r="N178" s="56">
        <v>125</v>
      </c>
      <c r="O178" s="16">
        <f t="shared" si="91"/>
        <v>1138</v>
      </c>
    </row>
    <row r="179" spans="1:15" ht="15.75" thickBot="1" x14ac:dyDescent="0.3">
      <c r="A179" s="1"/>
      <c r="B179" s="8" t="s">
        <v>37</v>
      </c>
      <c r="C179" s="49">
        <v>58</v>
      </c>
      <c r="D179" s="50">
        <v>42</v>
      </c>
      <c r="E179" s="50">
        <v>49</v>
      </c>
      <c r="F179" s="50">
        <v>49</v>
      </c>
      <c r="G179" s="50">
        <v>61</v>
      </c>
      <c r="H179" s="50">
        <v>52</v>
      </c>
      <c r="I179" s="50">
        <v>42</v>
      </c>
      <c r="J179" s="50">
        <v>65</v>
      </c>
      <c r="K179" s="50">
        <v>56</v>
      </c>
      <c r="L179" s="50">
        <v>57</v>
      </c>
      <c r="M179" s="50">
        <v>47</v>
      </c>
      <c r="N179" s="56">
        <v>45</v>
      </c>
      <c r="O179" s="16">
        <f t="shared" si="91"/>
        <v>623</v>
      </c>
    </row>
    <row r="180" spans="1:15" ht="15.75" thickBot="1" x14ac:dyDescent="0.3">
      <c r="A180" s="1"/>
      <c r="B180" s="8" t="s">
        <v>38</v>
      </c>
      <c r="C180" s="51">
        <v>1</v>
      </c>
      <c r="D180" s="23">
        <v>1</v>
      </c>
      <c r="E180" s="23">
        <v>1</v>
      </c>
      <c r="F180" s="52">
        <v>0</v>
      </c>
      <c r="G180" s="52">
        <v>2</v>
      </c>
      <c r="H180" s="52">
        <v>0</v>
      </c>
      <c r="I180" s="52">
        <v>3</v>
      </c>
      <c r="J180" s="52">
        <v>2</v>
      </c>
      <c r="K180" s="52">
        <v>2</v>
      </c>
      <c r="L180" s="52">
        <v>1</v>
      </c>
      <c r="M180" s="52">
        <v>1</v>
      </c>
      <c r="N180" s="57">
        <v>0</v>
      </c>
      <c r="O180" s="16">
        <f t="shared" si="91"/>
        <v>14</v>
      </c>
    </row>
    <row r="181" spans="1:15" ht="15.75" thickBot="1" x14ac:dyDescent="0.3">
      <c r="A181" s="1"/>
      <c r="B181" s="8" t="s">
        <v>39</v>
      </c>
      <c r="C181" s="51">
        <v>7</v>
      </c>
      <c r="D181" s="23">
        <v>4</v>
      </c>
      <c r="E181" s="23">
        <v>4</v>
      </c>
      <c r="F181" s="52">
        <v>5</v>
      </c>
      <c r="G181" s="52">
        <v>9</v>
      </c>
      <c r="H181" s="52">
        <v>6</v>
      </c>
      <c r="I181" s="52">
        <v>9</v>
      </c>
      <c r="J181" s="52">
        <v>8</v>
      </c>
      <c r="K181" s="52">
        <v>4</v>
      </c>
      <c r="L181" s="52">
        <v>1</v>
      </c>
      <c r="M181" s="52">
        <v>6</v>
      </c>
      <c r="N181" s="57">
        <v>3</v>
      </c>
      <c r="O181" s="16">
        <f t="shared" si="91"/>
        <v>66</v>
      </c>
    </row>
    <row r="182" spans="1:15" ht="15.75" thickBot="1" x14ac:dyDescent="0.3">
      <c r="A182" s="1"/>
      <c r="B182" s="8" t="s">
        <v>40</v>
      </c>
      <c r="C182" s="51">
        <v>154</v>
      </c>
      <c r="D182" s="23">
        <v>155</v>
      </c>
      <c r="E182" s="23">
        <v>163</v>
      </c>
      <c r="F182" s="52">
        <v>151</v>
      </c>
      <c r="G182" s="52">
        <v>181</v>
      </c>
      <c r="H182" s="52">
        <v>153</v>
      </c>
      <c r="I182" s="52">
        <v>164</v>
      </c>
      <c r="J182" s="52">
        <v>136</v>
      </c>
      <c r="K182" s="52">
        <v>159</v>
      </c>
      <c r="L182" s="52">
        <v>143</v>
      </c>
      <c r="M182" s="52">
        <v>135</v>
      </c>
      <c r="N182" s="57">
        <v>131</v>
      </c>
      <c r="O182" s="16">
        <f t="shared" si="91"/>
        <v>1825</v>
      </c>
    </row>
    <row r="183" spans="1:15" ht="15.75" thickBot="1" x14ac:dyDescent="0.3">
      <c r="A183" s="1"/>
      <c r="B183" s="8" t="s">
        <v>41</v>
      </c>
      <c r="C183" s="51">
        <v>0</v>
      </c>
      <c r="D183" s="23">
        <v>0</v>
      </c>
      <c r="E183" s="23">
        <v>0</v>
      </c>
      <c r="F183" s="52">
        <v>1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2">
        <v>0</v>
      </c>
      <c r="M183" s="52">
        <v>0</v>
      </c>
      <c r="N183" s="57">
        <v>0</v>
      </c>
      <c r="O183" s="16">
        <f t="shared" si="91"/>
        <v>1</v>
      </c>
    </row>
    <row r="184" spans="1:15" ht="15.75" thickBot="1" x14ac:dyDescent="0.3">
      <c r="A184" s="1"/>
      <c r="B184" s="8" t="s">
        <v>42</v>
      </c>
      <c r="C184" s="53">
        <v>11</v>
      </c>
      <c r="D184" s="52">
        <v>18</v>
      </c>
      <c r="E184" s="52">
        <v>24</v>
      </c>
      <c r="F184" s="52">
        <v>24</v>
      </c>
      <c r="G184" s="52">
        <v>11</v>
      </c>
      <c r="H184" s="52">
        <v>22</v>
      </c>
      <c r="I184" s="52">
        <v>21</v>
      </c>
      <c r="J184" s="52">
        <v>21</v>
      </c>
      <c r="K184" s="52">
        <v>15</v>
      </c>
      <c r="L184" s="52">
        <v>20</v>
      </c>
      <c r="M184" s="52">
        <v>15</v>
      </c>
      <c r="N184" s="57">
        <v>16</v>
      </c>
      <c r="O184" s="16">
        <f t="shared" si="91"/>
        <v>218</v>
      </c>
    </row>
    <row r="185" spans="1:15" ht="15.75" thickBot="1" x14ac:dyDescent="0.3">
      <c r="A185" s="1"/>
      <c r="B185" s="8" t="s">
        <v>43</v>
      </c>
      <c r="C185" s="53">
        <v>3</v>
      </c>
      <c r="D185" s="52">
        <v>1</v>
      </c>
      <c r="E185" s="52">
        <v>2</v>
      </c>
      <c r="F185" s="52">
        <v>0</v>
      </c>
      <c r="G185" s="52">
        <v>0</v>
      </c>
      <c r="H185" s="52">
        <v>1</v>
      </c>
      <c r="I185" s="52">
        <v>0</v>
      </c>
      <c r="J185" s="52">
        <v>0</v>
      </c>
      <c r="K185" s="52">
        <v>1</v>
      </c>
      <c r="L185" s="52">
        <v>0</v>
      </c>
      <c r="M185" s="52">
        <v>0</v>
      </c>
      <c r="N185" s="57">
        <v>0</v>
      </c>
      <c r="O185" s="16">
        <f t="shared" si="91"/>
        <v>8</v>
      </c>
    </row>
    <row r="186" spans="1:15" ht="15.75" thickBot="1" x14ac:dyDescent="0.3">
      <c r="A186" s="1"/>
      <c r="B186" s="9" t="s">
        <v>44</v>
      </c>
      <c r="C186" s="53">
        <v>2</v>
      </c>
      <c r="D186" s="52">
        <v>2</v>
      </c>
      <c r="E186" s="52">
        <v>0</v>
      </c>
      <c r="F186" s="52">
        <v>2</v>
      </c>
      <c r="G186" s="52">
        <v>6</v>
      </c>
      <c r="H186" s="52">
        <v>4</v>
      </c>
      <c r="I186" s="52">
        <v>0</v>
      </c>
      <c r="J186" s="52">
        <v>0</v>
      </c>
      <c r="K186" s="52">
        <v>0</v>
      </c>
      <c r="L186" s="52">
        <v>1</v>
      </c>
      <c r="M186" s="52">
        <v>1</v>
      </c>
      <c r="N186" s="57">
        <v>0</v>
      </c>
      <c r="O186" s="16">
        <f t="shared" si="91"/>
        <v>18</v>
      </c>
    </row>
    <row r="187" spans="1:15" ht="15.75" thickBot="1" x14ac:dyDescent="0.3">
      <c r="A187" s="1"/>
      <c r="B187" s="8" t="s">
        <v>45</v>
      </c>
      <c r="C187" s="54">
        <v>2</v>
      </c>
      <c r="D187" s="54">
        <v>0</v>
      </c>
      <c r="E187" s="54">
        <v>0</v>
      </c>
      <c r="F187" s="55">
        <v>0</v>
      </c>
      <c r="G187" s="55">
        <v>0</v>
      </c>
      <c r="H187" s="55">
        <v>2</v>
      </c>
      <c r="I187" s="55">
        <v>1</v>
      </c>
      <c r="J187" s="55">
        <v>0</v>
      </c>
      <c r="K187" s="55">
        <v>0</v>
      </c>
      <c r="L187" s="55">
        <v>0</v>
      </c>
      <c r="M187" s="55">
        <v>0</v>
      </c>
      <c r="N187" s="58">
        <v>1</v>
      </c>
      <c r="O187" s="17">
        <f t="shared" si="91"/>
        <v>6</v>
      </c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thickBo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6.5" thickBot="1" x14ac:dyDescent="0.3">
      <c r="A190" s="1"/>
      <c r="B190" s="1"/>
      <c r="C190" s="199" t="s">
        <v>49</v>
      </c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199">
        <f>+[1]INICIO!M4</f>
        <v>2015</v>
      </c>
      <c r="O190" s="201"/>
    </row>
    <row r="191" spans="1:15" ht="15.75" thickBot="1" x14ac:dyDescent="0.3">
      <c r="A191" s="1"/>
      <c r="B191" s="7"/>
      <c r="C191" s="39">
        <v>31</v>
      </c>
      <c r="D191" s="39">
        <v>28</v>
      </c>
      <c r="E191" s="39">
        <v>31</v>
      </c>
      <c r="F191" s="39">
        <v>30</v>
      </c>
      <c r="G191" s="39">
        <v>31</v>
      </c>
      <c r="H191" s="39">
        <v>30</v>
      </c>
      <c r="I191" s="39">
        <v>31</v>
      </c>
      <c r="J191" s="39">
        <v>31</v>
      </c>
      <c r="K191" s="39">
        <v>30</v>
      </c>
      <c r="L191" s="39">
        <v>31</v>
      </c>
      <c r="M191" s="39">
        <v>30</v>
      </c>
      <c r="N191" s="39">
        <v>31</v>
      </c>
      <c r="O191" s="40">
        <v>6</v>
      </c>
    </row>
    <row r="192" spans="1:15" ht="15.75" thickBot="1" x14ac:dyDescent="0.3">
      <c r="A192" s="1"/>
      <c r="B192" s="10" t="s">
        <v>62</v>
      </c>
      <c r="C192" s="11" t="s">
        <v>1</v>
      </c>
      <c r="D192" s="12" t="s">
        <v>2</v>
      </c>
      <c r="E192" s="12" t="s">
        <v>3</v>
      </c>
      <c r="F192" s="12" t="s">
        <v>4</v>
      </c>
      <c r="G192" s="12" t="s">
        <v>5</v>
      </c>
      <c r="H192" s="12" t="s">
        <v>6</v>
      </c>
      <c r="I192" s="12" t="s">
        <v>7</v>
      </c>
      <c r="J192" s="12" t="s">
        <v>8</v>
      </c>
      <c r="K192" s="13" t="s">
        <v>9</v>
      </c>
      <c r="L192" s="13" t="s">
        <v>10</v>
      </c>
      <c r="M192" s="13" t="s">
        <v>11</v>
      </c>
      <c r="N192" s="13" t="s">
        <v>12</v>
      </c>
      <c r="O192" s="14" t="s">
        <v>13</v>
      </c>
    </row>
    <row r="193" spans="1:15" ht="15.75" thickBot="1" x14ac:dyDescent="0.3">
      <c r="A193" s="1"/>
      <c r="B193" s="8" t="s">
        <v>14</v>
      </c>
      <c r="C193" s="44">
        <v>6</v>
      </c>
      <c r="D193" s="44">
        <v>6</v>
      </c>
      <c r="E193" s="44">
        <v>6</v>
      </c>
      <c r="F193" s="44">
        <v>6</v>
      </c>
      <c r="G193" s="44">
        <v>6</v>
      </c>
      <c r="H193" s="44">
        <v>6</v>
      </c>
      <c r="I193" s="44">
        <v>6</v>
      </c>
      <c r="J193" s="44">
        <v>6</v>
      </c>
      <c r="K193" s="44">
        <v>6</v>
      </c>
      <c r="L193" s="44">
        <v>6</v>
      </c>
      <c r="M193" s="44">
        <v>6</v>
      </c>
      <c r="N193" s="44">
        <v>6</v>
      </c>
      <c r="O193" s="36">
        <f>+AVERAGE(C193:N193)</f>
        <v>6</v>
      </c>
    </row>
    <row r="194" spans="1:15" ht="15.75" thickBot="1" x14ac:dyDescent="0.3">
      <c r="A194" s="1"/>
      <c r="B194" s="8" t="s">
        <v>70</v>
      </c>
      <c r="C194" s="32">
        <v>26</v>
      </c>
      <c r="D194" s="21">
        <v>16</v>
      </c>
      <c r="E194" s="21">
        <v>16</v>
      </c>
      <c r="F194" s="3">
        <v>21</v>
      </c>
      <c r="G194" s="3">
        <v>19</v>
      </c>
      <c r="H194" s="3">
        <v>16</v>
      </c>
      <c r="I194" s="3">
        <v>24</v>
      </c>
      <c r="J194" s="3">
        <v>16</v>
      </c>
      <c r="K194" s="3">
        <v>16</v>
      </c>
      <c r="L194" s="3">
        <v>22</v>
      </c>
      <c r="M194" s="3">
        <v>13</v>
      </c>
      <c r="N194" s="33">
        <v>24</v>
      </c>
      <c r="O194" s="18">
        <f t="shared" ref="O194:O199" si="92">+SUM(C194:N194)</f>
        <v>229</v>
      </c>
    </row>
    <row r="195" spans="1:15" ht="15.75" thickBot="1" x14ac:dyDescent="0.3">
      <c r="A195" s="1"/>
      <c r="B195" s="8" t="s">
        <v>16</v>
      </c>
      <c r="C195" s="32">
        <v>24</v>
      </c>
      <c r="D195" s="21">
        <v>16</v>
      </c>
      <c r="E195" s="21">
        <v>17</v>
      </c>
      <c r="F195" s="3">
        <v>22</v>
      </c>
      <c r="G195" s="3">
        <v>16</v>
      </c>
      <c r="H195" s="3">
        <v>16</v>
      </c>
      <c r="I195" s="3">
        <v>24</v>
      </c>
      <c r="J195" s="3">
        <v>16</v>
      </c>
      <c r="K195" s="3">
        <v>14</v>
      </c>
      <c r="L195" s="3">
        <v>22</v>
      </c>
      <c r="M195" s="3">
        <v>14</v>
      </c>
      <c r="N195" s="33">
        <v>24</v>
      </c>
      <c r="O195" s="18">
        <f t="shared" si="92"/>
        <v>225</v>
      </c>
    </row>
    <row r="196" spans="1:15" ht="15.75" thickBot="1" x14ac:dyDescent="0.3">
      <c r="A196" s="1"/>
      <c r="B196" s="8" t="s">
        <v>17</v>
      </c>
      <c r="C196" s="41">
        <f>+C191*C193</f>
        <v>186</v>
      </c>
      <c r="D196" s="41">
        <f t="shared" ref="D196:N196" si="93">+D191*D193</f>
        <v>168</v>
      </c>
      <c r="E196" s="41">
        <f t="shared" si="93"/>
        <v>186</v>
      </c>
      <c r="F196" s="41">
        <f t="shared" si="93"/>
        <v>180</v>
      </c>
      <c r="G196" s="41">
        <f t="shared" si="93"/>
        <v>186</v>
      </c>
      <c r="H196" s="41">
        <f t="shared" si="93"/>
        <v>180</v>
      </c>
      <c r="I196" s="41">
        <f t="shared" si="93"/>
        <v>186</v>
      </c>
      <c r="J196" s="41">
        <f t="shared" si="93"/>
        <v>186</v>
      </c>
      <c r="K196" s="41">
        <f t="shared" si="93"/>
        <v>180</v>
      </c>
      <c r="L196" s="41">
        <f t="shared" si="93"/>
        <v>186</v>
      </c>
      <c r="M196" s="41">
        <f t="shared" si="93"/>
        <v>180</v>
      </c>
      <c r="N196" s="41">
        <f t="shared" si="93"/>
        <v>186</v>
      </c>
      <c r="O196" s="18">
        <f t="shared" si="92"/>
        <v>2190</v>
      </c>
    </row>
    <row r="197" spans="1:15" ht="15.75" thickBot="1" x14ac:dyDescent="0.3">
      <c r="A197" s="1"/>
      <c r="B197" s="8" t="s">
        <v>18</v>
      </c>
      <c r="C197" s="32">
        <v>117</v>
      </c>
      <c r="D197" s="21">
        <v>65</v>
      </c>
      <c r="E197" s="21">
        <v>83</v>
      </c>
      <c r="F197" s="3">
        <v>104</v>
      </c>
      <c r="G197" s="3">
        <v>86</v>
      </c>
      <c r="H197" s="3">
        <v>56</v>
      </c>
      <c r="I197" s="3">
        <v>119</v>
      </c>
      <c r="J197" s="3">
        <v>73</v>
      </c>
      <c r="K197" s="3">
        <v>77</v>
      </c>
      <c r="L197" s="3">
        <v>94</v>
      </c>
      <c r="M197" s="3">
        <v>89</v>
      </c>
      <c r="N197" s="33">
        <v>73</v>
      </c>
      <c r="O197" s="18">
        <f t="shared" si="92"/>
        <v>1036</v>
      </c>
    </row>
    <row r="198" spans="1:15" ht="15.75" thickBot="1" x14ac:dyDescent="0.3">
      <c r="A198" s="1"/>
      <c r="B198" s="8" t="s">
        <v>19</v>
      </c>
      <c r="C198" s="32">
        <v>169</v>
      </c>
      <c r="D198" s="21">
        <v>86</v>
      </c>
      <c r="E198" s="21">
        <v>110</v>
      </c>
      <c r="F198" s="3">
        <v>159</v>
      </c>
      <c r="G198" s="3">
        <v>100</v>
      </c>
      <c r="H198" s="3">
        <v>82</v>
      </c>
      <c r="I198" s="3">
        <v>142</v>
      </c>
      <c r="J198" s="3">
        <v>77</v>
      </c>
      <c r="K198" s="3">
        <v>95</v>
      </c>
      <c r="L198" s="3">
        <v>136</v>
      </c>
      <c r="M198" s="3">
        <v>107</v>
      </c>
      <c r="N198" s="33">
        <v>88</v>
      </c>
      <c r="O198" s="18">
        <f t="shared" si="92"/>
        <v>1351</v>
      </c>
    </row>
    <row r="199" spans="1:15" ht="15.75" thickBot="1" x14ac:dyDescent="0.3">
      <c r="A199" s="1"/>
      <c r="B199" s="9" t="s">
        <v>51</v>
      </c>
      <c r="C199" s="75">
        <v>160</v>
      </c>
      <c r="D199" s="76">
        <v>125</v>
      </c>
      <c r="E199" s="76">
        <v>153</v>
      </c>
      <c r="F199" s="77">
        <v>135</v>
      </c>
      <c r="G199" s="76">
        <v>138</v>
      </c>
      <c r="H199" s="76">
        <v>133</v>
      </c>
      <c r="I199" s="76">
        <v>186</v>
      </c>
      <c r="J199" s="76">
        <v>181</v>
      </c>
      <c r="K199" s="76">
        <v>181</v>
      </c>
      <c r="L199" s="76">
        <v>126</v>
      </c>
      <c r="M199" s="76">
        <v>129</v>
      </c>
      <c r="N199" s="78">
        <v>120</v>
      </c>
      <c r="O199" s="18">
        <f t="shared" si="92"/>
        <v>1767</v>
      </c>
    </row>
    <row r="200" spans="1:15" ht="15.75" thickBot="1" x14ac:dyDescent="0.3">
      <c r="A200" s="1"/>
      <c r="B200" s="38" t="s">
        <v>71</v>
      </c>
      <c r="C200" s="42">
        <f>+IF(C195&gt;0,C197/C195,"")</f>
        <v>4.875</v>
      </c>
      <c r="D200" s="42">
        <f t="shared" ref="D200:N200" si="94">+IF(D195&gt;0,D197/D195,"")</f>
        <v>4.0625</v>
      </c>
      <c r="E200" s="42">
        <f t="shared" si="94"/>
        <v>4.882352941176471</v>
      </c>
      <c r="F200" s="42">
        <f t="shared" si="94"/>
        <v>4.7272727272727275</v>
      </c>
      <c r="G200" s="42">
        <f t="shared" si="94"/>
        <v>5.375</v>
      </c>
      <c r="H200" s="42">
        <f t="shared" si="94"/>
        <v>3.5</v>
      </c>
      <c r="I200" s="42">
        <f t="shared" si="94"/>
        <v>4.958333333333333</v>
      </c>
      <c r="J200" s="42">
        <f t="shared" si="94"/>
        <v>4.5625</v>
      </c>
      <c r="K200" s="42">
        <f t="shared" si="94"/>
        <v>5.5</v>
      </c>
      <c r="L200" s="42">
        <f t="shared" si="94"/>
        <v>4.2727272727272725</v>
      </c>
      <c r="M200" s="42">
        <f t="shared" si="94"/>
        <v>6.3571428571428568</v>
      </c>
      <c r="N200" s="46">
        <f t="shared" si="94"/>
        <v>3.0416666666666665</v>
      </c>
      <c r="O200" s="47">
        <f>+IF(O195&gt;0,O197/O195,"")</f>
        <v>4.6044444444444448</v>
      </c>
    </row>
    <row r="201" spans="1:15" ht="15.75" thickBot="1" x14ac:dyDescent="0.3">
      <c r="A201" s="1"/>
      <c r="B201" s="38" t="s">
        <v>21</v>
      </c>
      <c r="C201" s="70">
        <f t="shared" ref="C201:N201" si="95">+IF(C195&gt;0,C197/C195,"")</f>
        <v>4.875</v>
      </c>
      <c r="D201" s="71">
        <f t="shared" si="95"/>
        <v>4.0625</v>
      </c>
      <c r="E201" s="71">
        <f t="shared" si="95"/>
        <v>4.882352941176471</v>
      </c>
      <c r="F201" s="71">
        <f t="shared" si="95"/>
        <v>4.7272727272727275</v>
      </c>
      <c r="G201" s="71">
        <f t="shared" si="95"/>
        <v>5.375</v>
      </c>
      <c r="H201" s="71">
        <f t="shared" si="95"/>
        <v>3.5</v>
      </c>
      <c r="I201" s="71">
        <f t="shared" si="95"/>
        <v>4.958333333333333</v>
      </c>
      <c r="J201" s="71">
        <f t="shared" si="95"/>
        <v>4.5625</v>
      </c>
      <c r="K201" s="71">
        <f t="shared" si="95"/>
        <v>5.5</v>
      </c>
      <c r="L201" s="71">
        <f t="shared" si="95"/>
        <v>4.2727272727272725</v>
      </c>
      <c r="M201" s="71">
        <f t="shared" si="95"/>
        <v>6.3571428571428568</v>
      </c>
      <c r="N201" s="73">
        <f t="shared" si="95"/>
        <v>3.0416666666666665</v>
      </c>
      <c r="O201" s="47">
        <f>+IF(O195&gt;0,O197/O195,"")</f>
        <v>4.6044444444444448</v>
      </c>
    </row>
    <row r="202" spans="1:15" ht="15.75" thickBot="1" x14ac:dyDescent="0.3">
      <c r="A202" s="1"/>
      <c r="B202" s="38" t="s">
        <v>72</v>
      </c>
      <c r="C202" s="42">
        <f>+IF(C197&gt;0,(C197/C196)*100,"")</f>
        <v>62.903225806451616</v>
      </c>
      <c r="D202" s="42">
        <f t="shared" ref="D202:N202" si="96">+IF(D197&gt;0,(D197/D196)*100,"")</f>
        <v>38.69047619047619</v>
      </c>
      <c r="E202" s="42">
        <f t="shared" si="96"/>
        <v>44.623655913978496</v>
      </c>
      <c r="F202" s="42">
        <f t="shared" si="96"/>
        <v>57.777777777777771</v>
      </c>
      <c r="G202" s="42">
        <f t="shared" si="96"/>
        <v>46.236559139784944</v>
      </c>
      <c r="H202" s="42">
        <f t="shared" si="96"/>
        <v>31.111111111111111</v>
      </c>
      <c r="I202" s="42">
        <f t="shared" si="96"/>
        <v>63.978494623655912</v>
      </c>
      <c r="J202" s="42">
        <f t="shared" si="96"/>
        <v>39.247311827956985</v>
      </c>
      <c r="K202" s="42">
        <f t="shared" si="96"/>
        <v>42.777777777777779</v>
      </c>
      <c r="L202" s="42">
        <f t="shared" si="96"/>
        <v>50.537634408602152</v>
      </c>
      <c r="M202" s="42">
        <f t="shared" si="96"/>
        <v>49.444444444444443</v>
      </c>
      <c r="N202" s="46">
        <f t="shared" si="96"/>
        <v>39.247311827956985</v>
      </c>
      <c r="O202" s="47">
        <f>+IF(O197&gt;0,(O197/O196)*100,"")</f>
        <v>47.305936073059364</v>
      </c>
    </row>
    <row r="203" spans="1:15" ht="15.75" thickBot="1" x14ac:dyDescent="0.3">
      <c r="A203" s="1"/>
      <c r="B203" s="38" t="s">
        <v>23</v>
      </c>
      <c r="C203" s="42">
        <f>+IF(C195&gt;0,C195/C193,"")</f>
        <v>4</v>
      </c>
      <c r="D203" s="42">
        <f t="shared" ref="D203:N203" si="97">+IF(D195&gt;0,D195/D193,"")</f>
        <v>2.6666666666666665</v>
      </c>
      <c r="E203" s="42">
        <f t="shared" si="97"/>
        <v>2.8333333333333335</v>
      </c>
      <c r="F203" s="42">
        <f t="shared" si="97"/>
        <v>3.6666666666666665</v>
      </c>
      <c r="G203" s="42">
        <f t="shared" si="97"/>
        <v>2.6666666666666665</v>
      </c>
      <c r="H203" s="42">
        <f t="shared" si="97"/>
        <v>2.6666666666666665</v>
      </c>
      <c r="I203" s="42">
        <f t="shared" si="97"/>
        <v>4</v>
      </c>
      <c r="J203" s="42">
        <f t="shared" si="97"/>
        <v>2.6666666666666665</v>
      </c>
      <c r="K203" s="42">
        <f t="shared" si="97"/>
        <v>2.3333333333333335</v>
      </c>
      <c r="L203" s="42">
        <f t="shared" si="97"/>
        <v>3.6666666666666665</v>
      </c>
      <c r="M203" s="42">
        <f t="shared" si="97"/>
        <v>2.3333333333333335</v>
      </c>
      <c r="N203" s="46">
        <f t="shared" si="97"/>
        <v>4</v>
      </c>
      <c r="O203" s="87">
        <f>+IF(O195&gt;0,AVERAGE(C195:N195)/O193,"")</f>
        <v>3.125</v>
      </c>
    </row>
    <row r="204" spans="1:15" ht="15.75" thickBot="1" x14ac:dyDescent="0.3">
      <c r="A204" s="1"/>
      <c r="B204" s="38" t="s">
        <v>24</v>
      </c>
      <c r="C204" s="42">
        <f>+IF(C195&gt;0,(C196-C199)/C195,"")</f>
        <v>1.0833333333333333</v>
      </c>
      <c r="D204" s="42">
        <f t="shared" ref="D204:N204" si="98">+IF(D195&gt;0,(D196-D199)/D195,"")</f>
        <v>2.6875</v>
      </c>
      <c r="E204" s="42">
        <f t="shared" si="98"/>
        <v>1.9411764705882353</v>
      </c>
      <c r="F204" s="42">
        <f t="shared" si="98"/>
        <v>2.0454545454545454</v>
      </c>
      <c r="G204" s="42">
        <f t="shared" si="98"/>
        <v>3</v>
      </c>
      <c r="H204" s="42">
        <f t="shared" si="98"/>
        <v>2.9375</v>
      </c>
      <c r="I204" s="42">
        <f t="shared" si="98"/>
        <v>0</v>
      </c>
      <c r="J204" s="42">
        <f t="shared" si="98"/>
        <v>0.3125</v>
      </c>
      <c r="K204" s="42">
        <f t="shared" si="98"/>
        <v>-7.1428571428571425E-2</v>
      </c>
      <c r="L204" s="42">
        <f t="shared" si="98"/>
        <v>2.7272727272727271</v>
      </c>
      <c r="M204" s="42">
        <f t="shared" si="98"/>
        <v>3.6428571428571428</v>
      </c>
      <c r="N204" s="42">
        <f t="shared" si="98"/>
        <v>2.75</v>
      </c>
      <c r="O204" s="47">
        <f>+IF(O195&gt;0,(O196-O199)/O195,"")</f>
        <v>1.88</v>
      </c>
    </row>
    <row r="205" spans="1:15" ht="15.75" thickBot="1" x14ac:dyDescent="0.3">
      <c r="A205" s="1"/>
      <c r="B205" s="38" t="s">
        <v>25</v>
      </c>
      <c r="C205" s="42">
        <f>+IF(C199&gt;0,(C199/C196)*100,"")</f>
        <v>86.021505376344081</v>
      </c>
      <c r="D205" s="42">
        <f t="shared" ref="D205:N205" si="99">+IF(D199&gt;0,(D199/D196)*100,"")</f>
        <v>74.404761904761912</v>
      </c>
      <c r="E205" s="42">
        <f t="shared" si="99"/>
        <v>82.258064516129039</v>
      </c>
      <c r="F205" s="42">
        <f t="shared" si="99"/>
        <v>75</v>
      </c>
      <c r="G205" s="42">
        <f t="shared" si="99"/>
        <v>74.193548387096769</v>
      </c>
      <c r="H205" s="42">
        <f t="shared" si="99"/>
        <v>73.888888888888886</v>
      </c>
      <c r="I205" s="42">
        <f t="shared" si="99"/>
        <v>100</v>
      </c>
      <c r="J205" s="42">
        <f t="shared" si="99"/>
        <v>97.311827956989248</v>
      </c>
      <c r="K205" s="42">
        <f>+IF(K199&gt;0,(K199/K196)*100,"")</f>
        <v>100.55555555555556</v>
      </c>
      <c r="L205" s="42">
        <f t="shared" si="99"/>
        <v>67.741935483870961</v>
      </c>
      <c r="M205" s="42">
        <f>+IF(M199&gt;0,(M199/M196)*100,"")</f>
        <v>71.666666666666671</v>
      </c>
      <c r="N205" s="46">
        <f t="shared" si="99"/>
        <v>64.516129032258064</v>
      </c>
      <c r="O205" s="47">
        <f>+IF(O199&gt;0,(O199/O196)*100,"")</f>
        <v>80.68493150684931</v>
      </c>
    </row>
    <row r="206" spans="1:15" ht="15.75" thickBot="1" x14ac:dyDescent="0.3">
      <c r="A206" s="1"/>
      <c r="B206" s="8" t="s">
        <v>26</v>
      </c>
      <c r="C206" s="41">
        <f>+SUM(C207:C208)</f>
        <v>8</v>
      </c>
      <c r="D206" s="41">
        <f t="shared" ref="D206:N206" si="100">+SUM(D207:D208)</f>
        <v>4</v>
      </c>
      <c r="E206" s="41">
        <f t="shared" si="100"/>
        <v>6</v>
      </c>
      <c r="F206" s="41">
        <f t="shared" si="100"/>
        <v>7</v>
      </c>
      <c r="G206" s="41">
        <f t="shared" si="100"/>
        <v>9</v>
      </c>
      <c r="H206" s="41">
        <f t="shared" si="100"/>
        <v>3</v>
      </c>
      <c r="I206" s="41">
        <f t="shared" si="100"/>
        <v>7</v>
      </c>
      <c r="J206" s="41">
        <f t="shared" si="100"/>
        <v>4</v>
      </c>
      <c r="K206" s="41">
        <f t="shared" si="100"/>
        <v>3</v>
      </c>
      <c r="L206" s="41">
        <f t="shared" si="100"/>
        <v>9</v>
      </c>
      <c r="M206" s="41">
        <f t="shared" si="100"/>
        <v>2</v>
      </c>
      <c r="N206" s="45">
        <f t="shared" si="100"/>
        <v>6</v>
      </c>
      <c r="O206" s="18">
        <f t="shared" ref="O206:O209" si="101">+SUM(C206:N206)</f>
        <v>68</v>
      </c>
    </row>
    <row r="207" spans="1:15" ht="15.75" thickBot="1" x14ac:dyDescent="0.3">
      <c r="A207" s="1"/>
      <c r="B207" s="8" t="s">
        <v>52</v>
      </c>
      <c r="C207" s="32">
        <v>5</v>
      </c>
      <c r="D207" s="21">
        <v>4</v>
      </c>
      <c r="E207" s="21">
        <v>5</v>
      </c>
      <c r="F207" s="3">
        <v>5</v>
      </c>
      <c r="G207" s="3">
        <v>6</v>
      </c>
      <c r="H207" s="3">
        <v>1</v>
      </c>
      <c r="I207" s="3">
        <v>5</v>
      </c>
      <c r="J207" s="3">
        <v>2</v>
      </c>
      <c r="K207" s="3">
        <v>3</v>
      </c>
      <c r="L207" s="3">
        <v>6</v>
      </c>
      <c r="M207" s="3">
        <v>1</v>
      </c>
      <c r="N207" s="33">
        <v>0</v>
      </c>
      <c r="O207" s="18">
        <f t="shared" si="101"/>
        <v>43</v>
      </c>
    </row>
    <row r="208" spans="1:15" ht="15.75" thickBot="1" x14ac:dyDescent="0.3">
      <c r="A208" s="1"/>
      <c r="B208" s="8" t="s">
        <v>53</v>
      </c>
      <c r="C208" s="32">
        <v>3</v>
      </c>
      <c r="D208" s="21">
        <v>0</v>
      </c>
      <c r="E208" s="21">
        <v>1</v>
      </c>
      <c r="F208" s="3">
        <v>2</v>
      </c>
      <c r="G208" s="3">
        <v>3</v>
      </c>
      <c r="H208" s="3">
        <v>2</v>
      </c>
      <c r="I208" s="3">
        <v>2</v>
      </c>
      <c r="J208" s="3">
        <v>2</v>
      </c>
      <c r="K208" s="3">
        <v>0</v>
      </c>
      <c r="L208" s="3">
        <v>3</v>
      </c>
      <c r="M208" s="3">
        <v>1</v>
      </c>
      <c r="N208" s="33">
        <v>6</v>
      </c>
      <c r="O208" s="18">
        <f t="shared" si="101"/>
        <v>25</v>
      </c>
    </row>
    <row r="209" spans="1:15" ht="15.75" thickBot="1" x14ac:dyDescent="0.3">
      <c r="A209" s="1"/>
      <c r="B209" s="15" t="s">
        <v>31</v>
      </c>
      <c r="C209" s="25">
        <v>2</v>
      </c>
      <c r="D209" s="25">
        <v>1</v>
      </c>
      <c r="E209" s="25">
        <v>0</v>
      </c>
      <c r="F209" s="34">
        <v>2</v>
      </c>
      <c r="G209" s="34">
        <v>4</v>
      </c>
      <c r="H209" s="34">
        <v>0</v>
      </c>
      <c r="I209" s="34">
        <v>0</v>
      </c>
      <c r="J209" s="34">
        <v>2</v>
      </c>
      <c r="K209" s="34">
        <v>0</v>
      </c>
      <c r="L209" s="34">
        <v>0</v>
      </c>
      <c r="M209" s="34">
        <v>0</v>
      </c>
      <c r="N209" s="35">
        <v>0</v>
      </c>
      <c r="O209" s="28">
        <f t="shared" si="101"/>
        <v>11</v>
      </c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thickBo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6.5" thickBot="1" x14ac:dyDescent="0.3">
      <c r="A212" s="1"/>
      <c r="B212" s="1"/>
      <c r="C212" s="199" t="s">
        <v>49</v>
      </c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199">
        <f>+[1]INICIO!M4</f>
        <v>2015</v>
      </c>
      <c r="O212" s="201"/>
    </row>
    <row r="213" spans="1:15" ht="15.75" thickBot="1" x14ac:dyDescent="0.3">
      <c r="A213" s="1"/>
      <c r="B213" s="7"/>
      <c r="C213" s="39">
        <v>31</v>
      </c>
      <c r="D213" s="39">
        <v>28</v>
      </c>
      <c r="E213" s="39">
        <v>31</v>
      </c>
      <c r="F213" s="39">
        <v>30</v>
      </c>
      <c r="G213" s="39">
        <v>31</v>
      </c>
      <c r="H213" s="39">
        <v>30</v>
      </c>
      <c r="I213" s="39">
        <v>31</v>
      </c>
      <c r="J213" s="39">
        <v>31</v>
      </c>
      <c r="K213" s="39">
        <v>30</v>
      </c>
      <c r="L213" s="39">
        <v>31</v>
      </c>
      <c r="M213" s="39">
        <v>30</v>
      </c>
      <c r="N213" s="39">
        <v>31</v>
      </c>
      <c r="O213" s="40">
        <v>4</v>
      </c>
    </row>
    <row r="214" spans="1:15" ht="15.75" thickBot="1" x14ac:dyDescent="0.3">
      <c r="A214" s="1"/>
      <c r="B214" s="10" t="s">
        <v>67</v>
      </c>
      <c r="C214" s="11" t="s">
        <v>1</v>
      </c>
      <c r="D214" s="12" t="s">
        <v>2</v>
      </c>
      <c r="E214" s="12" t="s">
        <v>3</v>
      </c>
      <c r="F214" s="12" t="s">
        <v>4</v>
      </c>
      <c r="G214" s="12" t="s">
        <v>5</v>
      </c>
      <c r="H214" s="12" t="s">
        <v>6</v>
      </c>
      <c r="I214" s="12" t="s">
        <v>7</v>
      </c>
      <c r="J214" s="12" t="s">
        <v>8</v>
      </c>
      <c r="K214" s="13" t="s">
        <v>9</v>
      </c>
      <c r="L214" s="13" t="s">
        <v>10</v>
      </c>
      <c r="M214" s="13" t="s">
        <v>11</v>
      </c>
      <c r="N214" s="13" t="s">
        <v>12</v>
      </c>
      <c r="O214" s="14" t="s">
        <v>13</v>
      </c>
    </row>
    <row r="215" spans="1:15" ht="15.75" thickBot="1" x14ac:dyDescent="0.3">
      <c r="A215" s="1"/>
      <c r="B215" s="8" t="s">
        <v>14</v>
      </c>
      <c r="C215" s="44">
        <v>4</v>
      </c>
      <c r="D215" s="44">
        <v>4</v>
      </c>
      <c r="E215" s="44">
        <v>4</v>
      </c>
      <c r="F215" s="44">
        <v>4</v>
      </c>
      <c r="G215" s="44">
        <v>4</v>
      </c>
      <c r="H215" s="44">
        <v>4</v>
      </c>
      <c r="I215" s="44">
        <v>4</v>
      </c>
      <c r="J215" s="44">
        <v>4</v>
      </c>
      <c r="K215" s="44">
        <v>4</v>
      </c>
      <c r="L215" s="44">
        <v>4</v>
      </c>
      <c r="M215" s="44">
        <v>4</v>
      </c>
      <c r="N215" s="48">
        <v>4</v>
      </c>
      <c r="O215" s="36">
        <f>+AVERAGE(C215:N215)</f>
        <v>4</v>
      </c>
    </row>
    <row r="216" spans="1:15" ht="15.75" thickBot="1" x14ac:dyDescent="0.3">
      <c r="A216" s="1"/>
      <c r="B216" s="8" t="s">
        <v>70</v>
      </c>
      <c r="C216" s="32">
        <v>9</v>
      </c>
      <c r="D216" s="21">
        <v>9</v>
      </c>
      <c r="E216" s="21">
        <v>10</v>
      </c>
      <c r="F216" s="3">
        <v>10</v>
      </c>
      <c r="G216" s="3">
        <v>11</v>
      </c>
      <c r="H216" s="3">
        <v>13</v>
      </c>
      <c r="I216" s="3">
        <v>11</v>
      </c>
      <c r="J216" s="3">
        <v>14</v>
      </c>
      <c r="K216" s="3">
        <v>4</v>
      </c>
      <c r="L216" s="3">
        <v>9</v>
      </c>
      <c r="M216" s="3">
        <v>10</v>
      </c>
      <c r="N216" s="33">
        <v>7</v>
      </c>
      <c r="O216" s="18">
        <f t="shared" ref="O216:O221" si="102">+SUM(C216:N216)</f>
        <v>117</v>
      </c>
    </row>
    <row r="217" spans="1:15" ht="15.75" thickBot="1" x14ac:dyDescent="0.3">
      <c r="A217" s="1"/>
      <c r="B217" s="8" t="s">
        <v>16</v>
      </c>
      <c r="C217" s="32">
        <v>8</v>
      </c>
      <c r="D217" s="21">
        <v>10</v>
      </c>
      <c r="E217" s="21">
        <v>9</v>
      </c>
      <c r="F217" s="3">
        <v>12</v>
      </c>
      <c r="G217" s="3">
        <v>10</v>
      </c>
      <c r="H217" s="3">
        <v>13</v>
      </c>
      <c r="I217" s="3">
        <v>10</v>
      </c>
      <c r="J217" s="3">
        <v>13</v>
      </c>
      <c r="K217" s="3">
        <v>7</v>
      </c>
      <c r="L217" s="3">
        <v>8</v>
      </c>
      <c r="M217" s="3">
        <v>9</v>
      </c>
      <c r="N217" s="33">
        <v>6</v>
      </c>
      <c r="O217" s="18">
        <f t="shared" si="102"/>
        <v>115</v>
      </c>
    </row>
    <row r="218" spans="1:15" ht="15.75" thickBot="1" x14ac:dyDescent="0.3">
      <c r="A218" s="1"/>
      <c r="B218" s="8" t="s">
        <v>17</v>
      </c>
      <c r="C218" s="41">
        <f>+C213*C215</f>
        <v>124</v>
      </c>
      <c r="D218" s="41">
        <f t="shared" ref="D218:N218" si="103">+D213*D215</f>
        <v>112</v>
      </c>
      <c r="E218" s="41">
        <f t="shared" si="103"/>
        <v>124</v>
      </c>
      <c r="F218" s="41">
        <f t="shared" si="103"/>
        <v>120</v>
      </c>
      <c r="G218" s="41">
        <f t="shared" si="103"/>
        <v>124</v>
      </c>
      <c r="H218" s="41">
        <f t="shared" si="103"/>
        <v>120</v>
      </c>
      <c r="I218" s="41">
        <f t="shared" si="103"/>
        <v>124</v>
      </c>
      <c r="J218" s="41">
        <f t="shared" si="103"/>
        <v>124</v>
      </c>
      <c r="K218" s="41">
        <f t="shared" si="103"/>
        <v>120</v>
      </c>
      <c r="L218" s="41">
        <f t="shared" si="103"/>
        <v>124</v>
      </c>
      <c r="M218" s="41">
        <f t="shared" si="103"/>
        <v>120</v>
      </c>
      <c r="N218" s="41">
        <f t="shared" si="103"/>
        <v>124</v>
      </c>
      <c r="O218" s="18">
        <f t="shared" si="102"/>
        <v>1460</v>
      </c>
    </row>
    <row r="219" spans="1:15" ht="15.75" thickBot="1" x14ac:dyDescent="0.3">
      <c r="A219" s="1"/>
      <c r="B219" s="8" t="s">
        <v>18</v>
      </c>
      <c r="C219" s="32">
        <v>41</v>
      </c>
      <c r="D219" s="21">
        <v>52</v>
      </c>
      <c r="E219" s="21">
        <v>40</v>
      </c>
      <c r="F219" s="3">
        <v>68</v>
      </c>
      <c r="G219" s="3">
        <v>42</v>
      </c>
      <c r="H219" s="3">
        <v>54</v>
      </c>
      <c r="I219" s="3">
        <v>51</v>
      </c>
      <c r="J219" s="3">
        <v>57</v>
      </c>
      <c r="K219" s="3">
        <v>34</v>
      </c>
      <c r="L219" s="3">
        <v>65</v>
      </c>
      <c r="M219" s="3">
        <v>41</v>
      </c>
      <c r="N219" s="33">
        <v>25</v>
      </c>
      <c r="O219" s="18">
        <f t="shared" si="102"/>
        <v>570</v>
      </c>
    </row>
    <row r="220" spans="1:15" ht="15.75" thickBot="1" x14ac:dyDescent="0.3">
      <c r="A220" s="1"/>
      <c r="B220" s="8" t="s">
        <v>19</v>
      </c>
      <c r="C220" s="32">
        <v>64</v>
      </c>
      <c r="D220" s="21">
        <v>81</v>
      </c>
      <c r="E220" s="21">
        <v>44</v>
      </c>
      <c r="F220" s="3">
        <v>115</v>
      </c>
      <c r="G220" s="3">
        <v>47</v>
      </c>
      <c r="H220" s="3">
        <v>72</v>
      </c>
      <c r="I220" s="3">
        <v>56</v>
      </c>
      <c r="J220" s="3">
        <v>74</v>
      </c>
      <c r="K220" s="3">
        <v>55</v>
      </c>
      <c r="L220" s="3">
        <v>65</v>
      </c>
      <c r="M220" s="3">
        <v>43</v>
      </c>
      <c r="N220" s="33">
        <v>25</v>
      </c>
      <c r="O220" s="18">
        <f t="shared" si="102"/>
        <v>741</v>
      </c>
    </row>
    <row r="221" spans="1:15" ht="15.75" thickBot="1" x14ac:dyDescent="0.3">
      <c r="A221" s="1"/>
      <c r="B221" s="9" t="s">
        <v>51</v>
      </c>
      <c r="C221" s="75">
        <v>71</v>
      </c>
      <c r="D221" s="76">
        <v>51</v>
      </c>
      <c r="E221" s="76">
        <v>51</v>
      </c>
      <c r="F221" s="77">
        <v>70</v>
      </c>
      <c r="G221" s="76">
        <v>77</v>
      </c>
      <c r="H221" s="76">
        <v>87</v>
      </c>
      <c r="I221" s="76">
        <v>99</v>
      </c>
      <c r="J221" s="76">
        <v>108</v>
      </c>
      <c r="K221" s="76">
        <v>57</v>
      </c>
      <c r="L221" s="76">
        <v>98</v>
      </c>
      <c r="M221" s="76">
        <v>73</v>
      </c>
      <c r="N221" s="78">
        <v>46</v>
      </c>
      <c r="O221" s="18">
        <f t="shared" si="102"/>
        <v>888</v>
      </c>
    </row>
    <row r="222" spans="1:15" ht="15.75" thickBot="1" x14ac:dyDescent="0.3">
      <c r="A222" s="1"/>
      <c r="B222" s="38" t="s">
        <v>71</v>
      </c>
      <c r="C222" s="42">
        <f>+IF(C217&gt;0,C219/C217,"")</f>
        <v>5.125</v>
      </c>
      <c r="D222" s="42">
        <f t="shared" ref="D222:N222" si="104">+IF(D217&gt;0,D219/D217,"")</f>
        <v>5.2</v>
      </c>
      <c r="E222" s="42">
        <f t="shared" si="104"/>
        <v>4.4444444444444446</v>
      </c>
      <c r="F222" s="42">
        <f t="shared" si="104"/>
        <v>5.666666666666667</v>
      </c>
      <c r="G222" s="42">
        <f t="shared" si="104"/>
        <v>4.2</v>
      </c>
      <c r="H222" s="42">
        <f t="shared" si="104"/>
        <v>4.1538461538461542</v>
      </c>
      <c r="I222" s="42">
        <f t="shared" si="104"/>
        <v>5.0999999999999996</v>
      </c>
      <c r="J222" s="42">
        <f t="shared" si="104"/>
        <v>4.384615384615385</v>
      </c>
      <c r="K222" s="42">
        <f t="shared" si="104"/>
        <v>4.8571428571428568</v>
      </c>
      <c r="L222" s="42">
        <f t="shared" si="104"/>
        <v>8.125</v>
      </c>
      <c r="M222" s="42">
        <f t="shared" si="104"/>
        <v>4.5555555555555554</v>
      </c>
      <c r="N222" s="46">
        <f t="shared" si="104"/>
        <v>4.166666666666667</v>
      </c>
      <c r="O222" s="47">
        <f>+IF(O217&gt;0,O219/O217,"")</f>
        <v>4.9565217391304346</v>
      </c>
    </row>
    <row r="223" spans="1:15" ht="15.75" thickBot="1" x14ac:dyDescent="0.3">
      <c r="A223" s="1"/>
      <c r="B223" s="38" t="s">
        <v>21</v>
      </c>
      <c r="C223" s="70">
        <f t="shared" ref="C223:N223" si="105">+IF(C217&gt;0,C219/C217,"")</f>
        <v>5.125</v>
      </c>
      <c r="D223" s="71">
        <f t="shared" si="105"/>
        <v>5.2</v>
      </c>
      <c r="E223" s="71">
        <f t="shared" si="105"/>
        <v>4.4444444444444446</v>
      </c>
      <c r="F223" s="71">
        <f t="shared" si="105"/>
        <v>5.666666666666667</v>
      </c>
      <c r="G223" s="71">
        <f t="shared" si="105"/>
        <v>4.2</v>
      </c>
      <c r="H223" s="71">
        <f t="shared" si="105"/>
        <v>4.1538461538461542</v>
      </c>
      <c r="I223" s="71">
        <f t="shared" si="105"/>
        <v>5.0999999999999996</v>
      </c>
      <c r="J223" s="71">
        <f t="shared" si="105"/>
        <v>4.384615384615385</v>
      </c>
      <c r="K223" s="71">
        <f t="shared" si="105"/>
        <v>4.8571428571428568</v>
      </c>
      <c r="L223" s="71">
        <f t="shared" si="105"/>
        <v>8.125</v>
      </c>
      <c r="M223" s="71">
        <f t="shared" si="105"/>
        <v>4.5555555555555554</v>
      </c>
      <c r="N223" s="73">
        <f t="shared" si="105"/>
        <v>4.166666666666667</v>
      </c>
      <c r="O223" s="47">
        <f>+IF(O217&gt;0,O219/O217,"")</f>
        <v>4.9565217391304346</v>
      </c>
    </row>
    <row r="224" spans="1:15" ht="15.75" thickBot="1" x14ac:dyDescent="0.3">
      <c r="A224" s="1"/>
      <c r="B224" s="38" t="s">
        <v>72</v>
      </c>
      <c r="C224" s="42">
        <f>+IF(C219&gt;0,(C219/C218)*100,"")</f>
        <v>33.064516129032256</v>
      </c>
      <c r="D224" s="42">
        <f t="shared" ref="D224:N224" si="106">+IF(D219&gt;0,(D219/D218)*100,"")</f>
        <v>46.428571428571431</v>
      </c>
      <c r="E224" s="42">
        <f t="shared" si="106"/>
        <v>32.258064516129032</v>
      </c>
      <c r="F224" s="42">
        <f t="shared" si="106"/>
        <v>56.666666666666664</v>
      </c>
      <c r="G224" s="42">
        <f t="shared" si="106"/>
        <v>33.87096774193548</v>
      </c>
      <c r="H224" s="42">
        <f t="shared" si="106"/>
        <v>45</v>
      </c>
      <c r="I224" s="42">
        <f t="shared" si="106"/>
        <v>41.12903225806452</v>
      </c>
      <c r="J224" s="42">
        <f t="shared" si="106"/>
        <v>45.967741935483872</v>
      </c>
      <c r="K224" s="42">
        <f t="shared" si="106"/>
        <v>28.333333333333332</v>
      </c>
      <c r="L224" s="42">
        <f t="shared" si="106"/>
        <v>52.419354838709673</v>
      </c>
      <c r="M224" s="42">
        <f t="shared" si="106"/>
        <v>34.166666666666664</v>
      </c>
      <c r="N224" s="46">
        <f t="shared" si="106"/>
        <v>20.161290322580644</v>
      </c>
      <c r="O224" s="47">
        <f>+IF(O219&gt;0,(O219/O218)*100,"")</f>
        <v>39.041095890410958</v>
      </c>
    </row>
    <row r="225" spans="1:15" ht="15.75" thickBot="1" x14ac:dyDescent="0.3">
      <c r="A225" s="1"/>
      <c r="B225" s="38" t="s">
        <v>23</v>
      </c>
      <c r="C225" s="42">
        <f>+IF(C217&gt;0,C217/C215,"")</f>
        <v>2</v>
      </c>
      <c r="D225" s="42">
        <f t="shared" ref="D225:N225" si="107">+IF(D217&gt;0,D217/D215,"")</f>
        <v>2.5</v>
      </c>
      <c r="E225" s="42">
        <f t="shared" si="107"/>
        <v>2.25</v>
      </c>
      <c r="F225" s="42">
        <f t="shared" si="107"/>
        <v>3</v>
      </c>
      <c r="G225" s="42">
        <f t="shared" si="107"/>
        <v>2.5</v>
      </c>
      <c r="H225" s="42">
        <f t="shared" si="107"/>
        <v>3.25</v>
      </c>
      <c r="I225" s="42">
        <f t="shared" si="107"/>
        <v>2.5</v>
      </c>
      <c r="J225" s="42">
        <f t="shared" si="107"/>
        <v>3.25</v>
      </c>
      <c r="K225" s="42">
        <f t="shared" si="107"/>
        <v>1.75</v>
      </c>
      <c r="L225" s="42">
        <f t="shared" si="107"/>
        <v>2</v>
      </c>
      <c r="M225" s="42">
        <f t="shared" si="107"/>
        <v>2.25</v>
      </c>
      <c r="N225" s="46">
        <f t="shared" si="107"/>
        <v>1.5</v>
      </c>
      <c r="O225" s="87">
        <f>+IF(O217&gt;0,AVERAGE(C217:N217)/O215,"")</f>
        <v>2.3958333333333335</v>
      </c>
    </row>
    <row r="226" spans="1:15" ht="15.75" thickBot="1" x14ac:dyDescent="0.3">
      <c r="A226" s="1"/>
      <c r="B226" s="38" t="s">
        <v>24</v>
      </c>
      <c r="C226" s="42">
        <f>+IF(C217&gt;0,(C218-C221)/C217,"")</f>
        <v>6.625</v>
      </c>
      <c r="D226" s="42">
        <f t="shared" ref="D226:N226" si="108">+IF(D217&gt;0,(D218-D221)/D217,"")</f>
        <v>6.1</v>
      </c>
      <c r="E226" s="42">
        <f t="shared" si="108"/>
        <v>8.1111111111111107</v>
      </c>
      <c r="F226" s="42">
        <f t="shared" si="108"/>
        <v>4.166666666666667</v>
      </c>
      <c r="G226" s="42">
        <f t="shared" si="108"/>
        <v>4.7</v>
      </c>
      <c r="H226" s="42">
        <f t="shared" si="108"/>
        <v>2.5384615384615383</v>
      </c>
      <c r="I226" s="42">
        <f t="shared" si="108"/>
        <v>2.5</v>
      </c>
      <c r="J226" s="42">
        <f t="shared" si="108"/>
        <v>1.2307692307692308</v>
      </c>
      <c r="K226" s="42">
        <f t="shared" si="108"/>
        <v>9</v>
      </c>
      <c r="L226" s="42">
        <f t="shared" si="108"/>
        <v>3.25</v>
      </c>
      <c r="M226" s="42">
        <f t="shared" si="108"/>
        <v>5.2222222222222223</v>
      </c>
      <c r="N226" s="42">
        <f t="shared" si="108"/>
        <v>13</v>
      </c>
      <c r="O226" s="47">
        <f>+IF(O217&gt;0,(O218-O221)/O217,"")</f>
        <v>4.9739130434782606</v>
      </c>
    </row>
    <row r="227" spans="1:15" ht="15.75" thickBot="1" x14ac:dyDescent="0.3">
      <c r="A227" s="1"/>
      <c r="B227" s="38" t="s">
        <v>25</v>
      </c>
      <c r="C227" s="42">
        <f>+IF(C221&gt;0,(C221/C218)*100,"")</f>
        <v>57.258064516129039</v>
      </c>
      <c r="D227" s="42">
        <f t="shared" ref="D227:N227" si="109">+IF(D221&gt;0,(D221/D218)*100,"")</f>
        <v>45.535714285714285</v>
      </c>
      <c r="E227" s="42">
        <f t="shared" si="109"/>
        <v>41.12903225806452</v>
      </c>
      <c r="F227" s="42">
        <f t="shared" si="109"/>
        <v>58.333333333333336</v>
      </c>
      <c r="G227" s="42">
        <f t="shared" si="109"/>
        <v>62.096774193548384</v>
      </c>
      <c r="H227" s="42">
        <f t="shared" si="109"/>
        <v>72.5</v>
      </c>
      <c r="I227" s="42">
        <f t="shared" si="109"/>
        <v>79.838709677419345</v>
      </c>
      <c r="J227" s="42">
        <f t="shared" si="109"/>
        <v>87.096774193548384</v>
      </c>
      <c r="K227" s="42">
        <f t="shared" si="109"/>
        <v>47.5</v>
      </c>
      <c r="L227" s="42">
        <f t="shared" si="109"/>
        <v>79.032258064516128</v>
      </c>
      <c r="M227" s="42">
        <f t="shared" si="109"/>
        <v>60.833333333333329</v>
      </c>
      <c r="N227" s="46">
        <f t="shared" si="109"/>
        <v>37.096774193548384</v>
      </c>
      <c r="O227" s="47">
        <f>+IF(O221&gt;0,(O221/O218)*100,"")</f>
        <v>60.821917808219183</v>
      </c>
    </row>
    <row r="228" spans="1:15" ht="15.75" thickBot="1" x14ac:dyDescent="0.3">
      <c r="A228" s="1"/>
      <c r="B228" s="8" t="s">
        <v>26</v>
      </c>
      <c r="C228" s="41">
        <f>+SUM(C229:C230)</f>
        <v>1</v>
      </c>
      <c r="D228" s="41">
        <f t="shared" ref="D228:N228" si="110">+SUM(D229:D230)</f>
        <v>1</v>
      </c>
      <c r="E228" s="41">
        <f t="shared" si="110"/>
        <v>2</v>
      </c>
      <c r="F228" s="41">
        <f t="shared" si="110"/>
        <v>3</v>
      </c>
      <c r="G228" s="41">
        <f t="shared" si="110"/>
        <v>0</v>
      </c>
      <c r="H228" s="41">
        <f t="shared" si="110"/>
        <v>2</v>
      </c>
      <c r="I228" s="41">
        <f t="shared" si="110"/>
        <v>1</v>
      </c>
      <c r="J228" s="41">
        <f t="shared" si="110"/>
        <v>2</v>
      </c>
      <c r="K228" s="41">
        <f t="shared" si="110"/>
        <v>1</v>
      </c>
      <c r="L228" s="41">
        <f t="shared" si="110"/>
        <v>0</v>
      </c>
      <c r="M228" s="41">
        <f t="shared" si="110"/>
        <v>0</v>
      </c>
      <c r="N228" s="45">
        <f t="shared" si="110"/>
        <v>1</v>
      </c>
      <c r="O228" s="18">
        <f t="shared" ref="O228:O231" si="111">+SUM(C228:N228)</f>
        <v>14</v>
      </c>
    </row>
    <row r="229" spans="1:15" ht="15.75" thickBot="1" x14ac:dyDescent="0.3">
      <c r="A229" s="1"/>
      <c r="B229" s="8" t="s">
        <v>52</v>
      </c>
      <c r="C229" s="32">
        <v>1</v>
      </c>
      <c r="D229" s="21">
        <v>1</v>
      </c>
      <c r="E229" s="21">
        <v>0</v>
      </c>
      <c r="F229" s="3">
        <v>3</v>
      </c>
      <c r="G229" s="3">
        <v>0</v>
      </c>
      <c r="H229" s="3">
        <v>0</v>
      </c>
      <c r="I229" s="3">
        <v>0</v>
      </c>
      <c r="J229" s="3">
        <v>1</v>
      </c>
      <c r="K229" s="3">
        <v>1</v>
      </c>
      <c r="L229" s="3">
        <v>0</v>
      </c>
      <c r="M229" s="3">
        <v>0</v>
      </c>
      <c r="N229" s="33">
        <v>0</v>
      </c>
      <c r="O229" s="18">
        <f t="shared" si="111"/>
        <v>7</v>
      </c>
    </row>
    <row r="230" spans="1:15" ht="15.75" thickBot="1" x14ac:dyDescent="0.3">
      <c r="A230" s="1"/>
      <c r="B230" s="8" t="s">
        <v>53</v>
      </c>
      <c r="C230" s="32">
        <v>0</v>
      </c>
      <c r="D230" s="21">
        <v>0</v>
      </c>
      <c r="E230" s="21">
        <v>2</v>
      </c>
      <c r="F230" s="3">
        <v>0</v>
      </c>
      <c r="G230" s="3">
        <v>0</v>
      </c>
      <c r="H230" s="3">
        <v>2</v>
      </c>
      <c r="I230" s="3">
        <v>1</v>
      </c>
      <c r="J230" s="3">
        <v>1</v>
      </c>
      <c r="K230" s="3">
        <v>0</v>
      </c>
      <c r="L230" s="3">
        <v>0</v>
      </c>
      <c r="M230" s="3">
        <v>0</v>
      </c>
      <c r="N230" s="33">
        <v>1</v>
      </c>
      <c r="O230" s="18">
        <f t="shared" si="111"/>
        <v>7</v>
      </c>
    </row>
    <row r="231" spans="1:15" ht="15.75" thickBot="1" x14ac:dyDescent="0.3">
      <c r="A231" s="1"/>
      <c r="B231" s="15" t="s">
        <v>31</v>
      </c>
      <c r="C231" s="25">
        <v>0</v>
      </c>
      <c r="D231" s="25">
        <v>0</v>
      </c>
      <c r="E231" s="25">
        <v>0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  <c r="K231" s="34">
        <v>0</v>
      </c>
      <c r="L231" s="34">
        <v>0</v>
      </c>
      <c r="M231" s="34">
        <v>0</v>
      </c>
      <c r="N231" s="35">
        <v>0</v>
      </c>
      <c r="O231" s="28">
        <f t="shared" si="111"/>
        <v>0</v>
      </c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thickBo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6.5" thickBot="1" x14ac:dyDescent="0.3">
      <c r="A234" s="1"/>
      <c r="B234" s="1"/>
      <c r="C234" s="199" t="s">
        <v>49</v>
      </c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199">
        <f>+[1]INICIO!M4</f>
        <v>2015</v>
      </c>
      <c r="O234" s="201"/>
    </row>
    <row r="235" spans="1:15" ht="15.75" thickBot="1" x14ac:dyDescent="0.3">
      <c r="A235" s="1"/>
      <c r="B235" s="7"/>
      <c r="C235" s="39">
        <v>31</v>
      </c>
      <c r="D235" s="39">
        <v>28</v>
      </c>
      <c r="E235" s="39">
        <v>31</v>
      </c>
      <c r="F235" s="39">
        <v>30</v>
      </c>
      <c r="G235" s="39">
        <v>31</v>
      </c>
      <c r="H235" s="39">
        <v>30</v>
      </c>
      <c r="I235" s="39">
        <v>31</v>
      </c>
      <c r="J235" s="39">
        <v>31</v>
      </c>
      <c r="K235" s="39">
        <v>30</v>
      </c>
      <c r="L235" s="39">
        <v>31</v>
      </c>
      <c r="M235" s="39">
        <v>30</v>
      </c>
      <c r="N235" s="39">
        <v>31</v>
      </c>
      <c r="O235" s="40">
        <v>11</v>
      </c>
    </row>
    <row r="236" spans="1:15" ht="15.75" thickBot="1" x14ac:dyDescent="0.3">
      <c r="A236" s="1"/>
      <c r="B236" s="10" t="s">
        <v>68</v>
      </c>
      <c r="C236" s="11" t="s">
        <v>1</v>
      </c>
      <c r="D236" s="12" t="s">
        <v>2</v>
      </c>
      <c r="E236" s="12" t="s">
        <v>3</v>
      </c>
      <c r="F236" s="12" t="s">
        <v>4</v>
      </c>
      <c r="G236" s="12" t="s">
        <v>5</v>
      </c>
      <c r="H236" s="12" t="s">
        <v>6</v>
      </c>
      <c r="I236" s="12" t="s">
        <v>7</v>
      </c>
      <c r="J236" s="12" t="s">
        <v>8</v>
      </c>
      <c r="K236" s="13" t="s">
        <v>9</v>
      </c>
      <c r="L236" s="13" t="s">
        <v>10</v>
      </c>
      <c r="M236" s="13" t="s">
        <v>11</v>
      </c>
      <c r="N236" s="13" t="s">
        <v>12</v>
      </c>
      <c r="O236" s="14" t="s">
        <v>13</v>
      </c>
    </row>
    <row r="237" spans="1:15" ht="15.75" thickBot="1" x14ac:dyDescent="0.3">
      <c r="A237" s="1"/>
      <c r="B237" s="8" t="s">
        <v>14</v>
      </c>
      <c r="C237" s="44">
        <v>11</v>
      </c>
      <c r="D237" s="44">
        <v>11</v>
      </c>
      <c r="E237" s="44">
        <v>11</v>
      </c>
      <c r="F237" s="44">
        <v>11</v>
      </c>
      <c r="G237" s="44">
        <v>11</v>
      </c>
      <c r="H237" s="44">
        <v>11</v>
      </c>
      <c r="I237" s="44">
        <v>11</v>
      </c>
      <c r="J237" s="44">
        <v>11</v>
      </c>
      <c r="K237" s="44">
        <v>11</v>
      </c>
      <c r="L237" s="44">
        <v>11</v>
      </c>
      <c r="M237" s="44">
        <v>11</v>
      </c>
      <c r="N237" s="48">
        <v>11</v>
      </c>
      <c r="O237" s="36">
        <f>+AVERAGE(C237:N237)</f>
        <v>11</v>
      </c>
    </row>
    <row r="238" spans="1:15" ht="15.75" thickBot="1" x14ac:dyDescent="0.3">
      <c r="A238" s="1"/>
      <c r="B238" s="8" t="s">
        <v>70</v>
      </c>
      <c r="C238" s="32">
        <v>39</v>
      </c>
      <c r="D238" s="21">
        <v>34</v>
      </c>
      <c r="E238" s="21">
        <v>30</v>
      </c>
      <c r="F238" s="3">
        <v>30</v>
      </c>
      <c r="G238" s="3">
        <v>53</v>
      </c>
      <c r="H238" s="3">
        <v>38</v>
      </c>
      <c r="I238" s="3">
        <v>26</v>
      </c>
      <c r="J238" s="3">
        <v>29</v>
      </c>
      <c r="K238" s="3">
        <v>27</v>
      </c>
      <c r="L238" s="3">
        <v>28</v>
      </c>
      <c r="M238" s="3">
        <v>31</v>
      </c>
      <c r="N238" s="33">
        <v>21</v>
      </c>
      <c r="O238" s="18">
        <f t="shared" ref="O238:O243" si="112">+SUM(C238:N238)</f>
        <v>386</v>
      </c>
    </row>
    <row r="239" spans="1:15" ht="15.75" thickBot="1" x14ac:dyDescent="0.3">
      <c r="A239" s="1"/>
      <c r="B239" s="8" t="s">
        <v>16</v>
      </c>
      <c r="C239" s="32">
        <v>39</v>
      </c>
      <c r="D239" s="21">
        <v>36</v>
      </c>
      <c r="E239" s="21">
        <v>27</v>
      </c>
      <c r="F239" s="3">
        <v>32</v>
      </c>
      <c r="G239" s="3">
        <v>49</v>
      </c>
      <c r="H239" s="3">
        <v>35</v>
      </c>
      <c r="I239" s="3">
        <v>33</v>
      </c>
      <c r="J239" s="3">
        <v>26</v>
      </c>
      <c r="K239" s="3">
        <v>31</v>
      </c>
      <c r="L239" s="3">
        <v>25</v>
      </c>
      <c r="M239" s="3">
        <v>34</v>
      </c>
      <c r="N239" s="33">
        <v>23</v>
      </c>
      <c r="O239" s="18">
        <f t="shared" si="112"/>
        <v>390</v>
      </c>
    </row>
    <row r="240" spans="1:15" ht="15.75" thickBot="1" x14ac:dyDescent="0.3">
      <c r="A240" s="1"/>
      <c r="B240" s="8" t="s">
        <v>17</v>
      </c>
      <c r="C240" s="41">
        <f>+C235*C237</f>
        <v>341</v>
      </c>
      <c r="D240" s="41">
        <f t="shared" ref="D240:N240" si="113">+D235*D237</f>
        <v>308</v>
      </c>
      <c r="E240" s="41">
        <f t="shared" si="113"/>
        <v>341</v>
      </c>
      <c r="F240" s="41">
        <f t="shared" si="113"/>
        <v>330</v>
      </c>
      <c r="G240" s="41">
        <f t="shared" si="113"/>
        <v>341</v>
      </c>
      <c r="H240" s="41">
        <f t="shared" si="113"/>
        <v>330</v>
      </c>
      <c r="I240" s="41">
        <f t="shared" si="113"/>
        <v>341</v>
      </c>
      <c r="J240" s="41">
        <f t="shared" si="113"/>
        <v>341</v>
      </c>
      <c r="K240" s="41">
        <f t="shared" si="113"/>
        <v>330</v>
      </c>
      <c r="L240" s="41">
        <f t="shared" si="113"/>
        <v>341</v>
      </c>
      <c r="M240" s="41">
        <f t="shared" si="113"/>
        <v>330</v>
      </c>
      <c r="N240" s="41">
        <f t="shared" si="113"/>
        <v>341</v>
      </c>
      <c r="O240" s="18">
        <f t="shared" si="112"/>
        <v>4015</v>
      </c>
    </row>
    <row r="241" spans="1:15" ht="15.75" thickBot="1" x14ac:dyDescent="0.3">
      <c r="A241" s="1"/>
      <c r="B241" s="8" t="s">
        <v>18</v>
      </c>
      <c r="C241" s="32">
        <v>126</v>
      </c>
      <c r="D241" s="21">
        <v>173</v>
      </c>
      <c r="E241" s="21">
        <v>107</v>
      </c>
      <c r="F241" s="3">
        <v>117</v>
      </c>
      <c r="G241" s="3">
        <v>112</v>
      </c>
      <c r="H241" s="3">
        <v>122</v>
      </c>
      <c r="I241" s="3">
        <v>183</v>
      </c>
      <c r="J241" s="3">
        <v>118</v>
      </c>
      <c r="K241" s="3">
        <v>115</v>
      </c>
      <c r="L241" s="3">
        <v>75</v>
      </c>
      <c r="M241" s="3">
        <v>109</v>
      </c>
      <c r="N241" s="33">
        <v>64</v>
      </c>
      <c r="O241" s="18">
        <f t="shared" si="112"/>
        <v>1421</v>
      </c>
    </row>
    <row r="242" spans="1:15" ht="15.75" thickBot="1" x14ac:dyDescent="0.3">
      <c r="A242" s="1"/>
      <c r="B242" s="8" t="s">
        <v>19</v>
      </c>
      <c r="C242" s="32">
        <v>156</v>
      </c>
      <c r="D242" s="21">
        <v>223</v>
      </c>
      <c r="E242" s="21">
        <v>179</v>
      </c>
      <c r="F242" s="3">
        <v>158</v>
      </c>
      <c r="G242" s="3">
        <v>222</v>
      </c>
      <c r="H242" s="3">
        <v>144</v>
      </c>
      <c r="I242" s="3">
        <v>216</v>
      </c>
      <c r="J242" s="3">
        <v>127</v>
      </c>
      <c r="K242" s="3">
        <v>151</v>
      </c>
      <c r="L242" s="3">
        <v>99</v>
      </c>
      <c r="M242" s="3">
        <v>119</v>
      </c>
      <c r="N242" s="33">
        <v>76</v>
      </c>
      <c r="O242" s="18">
        <f t="shared" si="112"/>
        <v>1870</v>
      </c>
    </row>
    <row r="243" spans="1:15" ht="15.75" thickBot="1" x14ac:dyDescent="0.3">
      <c r="A243" s="1"/>
      <c r="B243" s="9" t="s">
        <v>51</v>
      </c>
      <c r="C243" s="75">
        <v>153</v>
      </c>
      <c r="D243" s="76">
        <v>218</v>
      </c>
      <c r="E243" s="76">
        <v>221</v>
      </c>
      <c r="F243" s="77">
        <v>205</v>
      </c>
      <c r="G243" s="76">
        <v>349</v>
      </c>
      <c r="H243" s="76">
        <v>171</v>
      </c>
      <c r="I243" s="76">
        <v>158</v>
      </c>
      <c r="J243" s="76">
        <v>178</v>
      </c>
      <c r="K243" s="76">
        <v>165</v>
      </c>
      <c r="L243" s="76">
        <v>115</v>
      </c>
      <c r="M243" s="76">
        <v>99</v>
      </c>
      <c r="N243" s="78">
        <v>61</v>
      </c>
      <c r="O243" s="18">
        <f t="shared" si="112"/>
        <v>2093</v>
      </c>
    </row>
    <row r="244" spans="1:15" ht="15.75" thickBot="1" x14ac:dyDescent="0.3">
      <c r="A244" s="1"/>
      <c r="B244" s="38" t="s">
        <v>71</v>
      </c>
      <c r="C244" s="42">
        <f>+IF(C239&gt;0,C241/C239,"")</f>
        <v>3.2307692307692308</v>
      </c>
      <c r="D244" s="42">
        <f t="shared" ref="D244:N244" si="114">+IF(D239&gt;0,D241/D239,"")</f>
        <v>4.8055555555555554</v>
      </c>
      <c r="E244" s="42">
        <f t="shared" si="114"/>
        <v>3.9629629629629628</v>
      </c>
      <c r="F244" s="42">
        <f t="shared" si="114"/>
        <v>3.65625</v>
      </c>
      <c r="G244" s="42">
        <f t="shared" si="114"/>
        <v>2.2857142857142856</v>
      </c>
      <c r="H244" s="42">
        <f t="shared" si="114"/>
        <v>3.4857142857142858</v>
      </c>
      <c r="I244" s="42">
        <f t="shared" si="114"/>
        <v>5.5454545454545459</v>
      </c>
      <c r="J244" s="42">
        <f t="shared" si="114"/>
        <v>4.5384615384615383</v>
      </c>
      <c r="K244" s="42">
        <f t="shared" si="114"/>
        <v>3.7096774193548385</v>
      </c>
      <c r="L244" s="42">
        <f t="shared" si="114"/>
        <v>3</v>
      </c>
      <c r="M244" s="42">
        <f t="shared" si="114"/>
        <v>3.2058823529411766</v>
      </c>
      <c r="N244" s="46">
        <f t="shared" si="114"/>
        <v>2.7826086956521738</v>
      </c>
      <c r="O244" s="47">
        <f>+IF(O239&gt;0,O241/O239,"")</f>
        <v>3.6435897435897435</v>
      </c>
    </row>
    <row r="245" spans="1:15" ht="15.75" thickBot="1" x14ac:dyDescent="0.3">
      <c r="A245" s="1"/>
      <c r="B245" s="38" t="s">
        <v>21</v>
      </c>
      <c r="C245" s="70">
        <f t="shared" ref="C245:N245" si="115">+IF(C239&gt;0,C241/C239,"")</f>
        <v>3.2307692307692308</v>
      </c>
      <c r="D245" s="71">
        <f t="shared" si="115"/>
        <v>4.8055555555555554</v>
      </c>
      <c r="E245" s="71">
        <f t="shared" si="115"/>
        <v>3.9629629629629628</v>
      </c>
      <c r="F245" s="71">
        <f t="shared" si="115"/>
        <v>3.65625</v>
      </c>
      <c r="G245" s="71">
        <f t="shared" si="115"/>
        <v>2.2857142857142856</v>
      </c>
      <c r="H245" s="71">
        <f t="shared" si="115"/>
        <v>3.4857142857142858</v>
      </c>
      <c r="I245" s="71">
        <f t="shared" si="115"/>
        <v>5.5454545454545459</v>
      </c>
      <c r="J245" s="71">
        <f t="shared" si="115"/>
        <v>4.5384615384615383</v>
      </c>
      <c r="K245" s="71">
        <f t="shared" si="115"/>
        <v>3.7096774193548385</v>
      </c>
      <c r="L245" s="71">
        <f t="shared" si="115"/>
        <v>3</v>
      </c>
      <c r="M245" s="71">
        <f t="shared" si="115"/>
        <v>3.2058823529411766</v>
      </c>
      <c r="N245" s="73">
        <f t="shared" si="115"/>
        <v>2.7826086956521738</v>
      </c>
      <c r="O245" s="47">
        <f>+IF(O239&gt;0,O241/O239,"")</f>
        <v>3.6435897435897435</v>
      </c>
    </row>
    <row r="246" spans="1:15" ht="15.75" thickBot="1" x14ac:dyDescent="0.3">
      <c r="A246" s="1"/>
      <c r="B246" s="38" t="s">
        <v>72</v>
      </c>
      <c r="C246" s="42">
        <f>+IF(C241&gt;0,(C241/C240)*100,"")</f>
        <v>36.950146627565985</v>
      </c>
      <c r="D246" s="42">
        <f t="shared" ref="D246:N246" si="116">+IF(D241&gt;0,(D241/D240)*100,"")</f>
        <v>56.168831168831169</v>
      </c>
      <c r="E246" s="42">
        <f t="shared" si="116"/>
        <v>31.378299120234605</v>
      </c>
      <c r="F246" s="42">
        <f t="shared" si="116"/>
        <v>35.454545454545453</v>
      </c>
      <c r="G246" s="42">
        <f t="shared" si="116"/>
        <v>32.84457478005865</v>
      </c>
      <c r="H246" s="42">
        <f t="shared" si="116"/>
        <v>36.969696969696969</v>
      </c>
      <c r="I246" s="42">
        <f t="shared" si="116"/>
        <v>53.665689149560116</v>
      </c>
      <c r="J246" s="42">
        <f t="shared" si="116"/>
        <v>34.604105571847512</v>
      </c>
      <c r="K246" s="42">
        <f t="shared" si="116"/>
        <v>34.848484848484851</v>
      </c>
      <c r="L246" s="42">
        <f t="shared" si="116"/>
        <v>21.994134897360702</v>
      </c>
      <c r="M246" s="42">
        <f t="shared" si="116"/>
        <v>33.030303030303031</v>
      </c>
      <c r="N246" s="46">
        <f t="shared" si="116"/>
        <v>18.768328445747802</v>
      </c>
      <c r="O246" s="47">
        <f>+IF(O241&gt;0,(O241/O240)*100,"")</f>
        <v>35.392278953922791</v>
      </c>
    </row>
    <row r="247" spans="1:15" ht="15.75" thickBot="1" x14ac:dyDescent="0.3">
      <c r="A247" s="1"/>
      <c r="B247" s="38" t="s">
        <v>23</v>
      </c>
      <c r="C247" s="42">
        <f>+IF(C239&gt;0,C239/C237,"")</f>
        <v>3.5454545454545454</v>
      </c>
      <c r="D247" s="42">
        <f t="shared" ref="D247:N247" si="117">+IF(D239&gt;0,D239/D237,"")</f>
        <v>3.2727272727272729</v>
      </c>
      <c r="E247" s="42">
        <f t="shared" si="117"/>
        <v>2.4545454545454546</v>
      </c>
      <c r="F247" s="42">
        <f t="shared" si="117"/>
        <v>2.9090909090909092</v>
      </c>
      <c r="G247" s="42">
        <f t="shared" si="117"/>
        <v>4.4545454545454541</v>
      </c>
      <c r="H247" s="42">
        <f t="shared" si="117"/>
        <v>3.1818181818181817</v>
      </c>
      <c r="I247" s="42">
        <f t="shared" si="117"/>
        <v>3</v>
      </c>
      <c r="J247" s="42">
        <f>+IF(J239&gt;0,J239/J237,"")</f>
        <v>2.3636363636363638</v>
      </c>
      <c r="K247" s="42">
        <f t="shared" si="117"/>
        <v>2.8181818181818183</v>
      </c>
      <c r="L247" s="42">
        <f t="shared" si="117"/>
        <v>2.2727272727272729</v>
      </c>
      <c r="M247" s="42">
        <f t="shared" si="117"/>
        <v>3.0909090909090908</v>
      </c>
      <c r="N247" s="46">
        <f t="shared" si="117"/>
        <v>2.0909090909090908</v>
      </c>
      <c r="O247" s="87">
        <f>+IF(O239&gt;0,AVERAGE(C239:N239)/O237,"")</f>
        <v>2.9545454545454546</v>
      </c>
    </row>
    <row r="248" spans="1:15" ht="15.75" thickBot="1" x14ac:dyDescent="0.3">
      <c r="A248" s="1"/>
      <c r="B248" s="38" t="s">
        <v>24</v>
      </c>
      <c r="C248" s="42">
        <f>+IF(C239&gt;0,(C240-C243)/C239,"")</f>
        <v>4.8205128205128203</v>
      </c>
      <c r="D248" s="42">
        <f t="shared" ref="D248:N248" si="118">+IF(D239&gt;0,(D240-D243)/D239,"")</f>
        <v>2.5</v>
      </c>
      <c r="E248" s="42">
        <f t="shared" si="118"/>
        <v>4.4444444444444446</v>
      </c>
      <c r="F248" s="42">
        <f t="shared" si="118"/>
        <v>3.90625</v>
      </c>
      <c r="G248" s="42">
        <f t="shared" si="118"/>
        <v>-0.16326530612244897</v>
      </c>
      <c r="H248" s="42">
        <f t="shared" si="118"/>
        <v>4.5428571428571427</v>
      </c>
      <c r="I248" s="42">
        <f t="shared" si="118"/>
        <v>5.5454545454545459</v>
      </c>
      <c r="J248" s="42">
        <f t="shared" si="118"/>
        <v>6.2692307692307692</v>
      </c>
      <c r="K248" s="42">
        <f t="shared" si="118"/>
        <v>5.32258064516129</v>
      </c>
      <c r="L248" s="42">
        <f t="shared" si="118"/>
        <v>9.0399999999999991</v>
      </c>
      <c r="M248" s="42">
        <f t="shared" si="118"/>
        <v>6.7941176470588234</v>
      </c>
      <c r="N248" s="42">
        <f t="shared" si="118"/>
        <v>12.173913043478262</v>
      </c>
      <c r="O248" s="47">
        <f>+IF(O239&gt;0,(O240-O243)/O239,"")</f>
        <v>4.9282051282051285</v>
      </c>
    </row>
    <row r="249" spans="1:15" ht="15.75" thickBot="1" x14ac:dyDescent="0.3">
      <c r="A249" s="1"/>
      <c r="B249" s="38" t="s">
        <v>25</v>
      </c>
      <c r="C249" s="42">
        <f>+IF(C243&gt;0,(C243/C240)*100,"")</f>
        <v>44.868035190615835</v>
      </c>
      <c r="D249" s="42">
        <f t="shared" ref="D249:N249" si="119">+IF(D243&gt;0,(D243/D240)*100,"")</f>
        <v>70.779220779220779</v>
      </c>
      <c r="E249" s="42">
        <f t="shared" si="119"/>
        <v>64.809384164222877</v>
      </c>
      <c r="F249" s="42">
        <f t="shared" si="119"/>
        <v>62.121212121212125</v>
      </c>
      <c r="G249" s="42">
        <f t="shared" si="119"/>
        <v>102.34604105571847</v>
      </c>
      <c r="H249" s="42">
        <f t="shared" si="119"/>
        <v>51.81818181818182</v>
      </c>
      <c r="I249" s="42">
        <f t="shared" si="119"/>
        <v>46.334310850439877</v>
      </c>
      <c r="J249" s="42">
        <f t="shared" si="119"/>
        <v>52.199413489736067</v>
      </c>
      <c r="K249" s="42">
        <f t="shared" si="119"/>
        <v>50</v>
      </c>
      <c r="L249" s="42">
        <f t="shared" si="119"/>
        <v>33.724340175953074</v>
      </c>
      <c r="M249" s="42">
        <f t="shared" si="119"/>
        <v>30</v>
      </c>
      <c r="N249" s="46">
        <f t="shared" si="119"/>
        <v>17.888563049853374</v>
      </c>
      <c r="O249" s="47">
        <f>+IF(O243&gt;0,(O243/O240)*100,"")</f>
        <v>52.129514321295147</v>
      </c>
    </row>
    <row r="250" spans="1:15" ht="15.75" thickBot="1" x14ac:dyDescent="0.3">
      <c r="A250" s="1"/>
      <c r="B250" s="8" t="s">
        <v>26</v>
      </c>
      <c r="C250" s="41">
        <f>+SUM(C252)</f>
        <v>2</v>
      </c>
      <c r="D250" s="41">
        <f t="shared" ref="D250:N250" si="120">+SUM(D252)</f>
        <v>0</v>
      </c>
      <c r="E250" s="41">
        <f t="shared" si="120"/>
        <v>0</v>
      </c>
      <c r="F250" s="41">
        <f t="shared" si="120"/>
        <v>0</v>
      </c>
      <c r="G250" s="41">
        <f t="shared" si="120"/>
        <v>0</v>
      </c>
      <c r="H250" s="41">
        <f t="shared" si="120"/>
        <v>1</v>
      </c>
      <c r="I250" s="41">
        <f t="shared" si="120"/>
        <v>0</v>
      </c>
      <c r="J250" s="41">
        <f t="shared" si="120"/>
        <v>0</v>
      </c>
      <c r="K250" s="41">
        <f t="shared" si="120"/>
        <v>0</v>
      </c>
      <c r="L250" s="41">
        <f t="shared" si="120"/>
        <v>0</v>
      </c>
      <c r="M250" s="41">
        <f t="shared" si="120"/>
        <v>0</v>
      </c>
      <c r="N250" s="45">
        <f t="shared" si="120"/>
        <v>0</v>
      </c>
      <c r="O250" s="18">
        <f t="shared" ref="O250:O253" si="121">+SUM(C250:N250)</f>
        <v>3</v>
      </c>
    </row>
    <row r="251" spans="1:15" ht="15.75" thickBot="1" x14ac:dyDescent="0.3">
      <c r="A251" s="1"/>
      <c r="B251" s="8" t="s">
        <v>52</v>
      </c>
      <c r="C251" s="32">
        <v>0</v>
      </c>
      <c r="D251" s="21">
        <v>0</v>
      </c>
      <c r="E251" s="21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3">
        <v>0</v>
      </c>
      <c r="O251" s="18">
        <f t="shared" si="121"/>
        <v>0</v>
      </c>
    </row>
    <row r="252" spans="1:15" ht="15.75" thickBot="1" x14ac:dyDescent="0.3">
      <c r="A252" s="1"/>
      <c r="B252" s="8" t="s">
        <v>53</v>
      </c>
      <c r="C252" s="32">
        <v>2</v>
      </c>
      <c r="D252" s="21">
        <v>0</v>
      </c>
      <c r="E252" s="21">
        <v>0</v>
      </c>
      <c r="F252" s="3">
        <v>0</v>
      </c>
      <c r="G252" s="3">
        <v>0</v>
      </c>
      <c r="H252" s="3">
        <v>1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3">
        <v>0</v>
      </c>
      <c r="O252" s="18">
        <f t="shared" si="121"/>
        <v>3</v>
      </c>
    </row>
    <row r="253" spans="1:15" ht="15.75" thickBot="1" x14ac:dyDescent="0.3">
      <c r="A253" s="1"/>
      <c r="B253" s="15" t="s">
        <v>31</v>
      </c>
      <c r="C253" s="25">
        <v>0</v>
      </c>
      <c r="D253" s="25">
        <v>0</v>
      </c>
      <c r="E253" s="25">
        <v>1</v>
      </c>
      <c r="F253" s="34">
        <v>0</v>
      </c>
      <c r="G253" s="34">
        <v>0</v>
      </c>
      <c r="H253" s="34">
        <v>0</v>
      </c>
      <c r="I253" s="34">
        <v>1</v>
      </c>
      <c r="J253" s="34">
        <v>0</v>
      </c>
      <c r="K253" s="34">
        <v>0</v>
      </c>
      <c r="L253" s="34">
        <v>0</v>
      </c>
      <c r="M253" s="34">
        <v>0</v>
      </c>
      <c r="N253" s="35">
        <v>0</v>
      </c>
      <c r="O253" s="28">
        <f t="shared" si="121"/>
        <v>2</v>
      </c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</sheetData>
  <mergeCells count="20">
    <mergeCell ref="C234:M234"/>
    <mergeCell ref="N234:O234"/>
    <mergeCell ref="C155:M155"/>
    <mergeCell ref="N155:O155"/>
    <mergeCell ref="C190:M190"/>
    <mergeCell ref="N190:O190"/>
    <mergeCell ref="C212:M212"/>
    <mergeCell ref="N212:O212"/>
    <mergeCell ref="C89:M89"/>
    <mergeCell ref="N89:O89"/>
    <mergeCell ref="C111:M111"/>
    <mergeCell ref="N111:O111"/>
    <mergeCell ref="C133:M133"/>
    <mergeCell ref="N133:O133"/>
    <mergeCell ref="C2:M2"/>
    <mergeCell ref="N2:O2"/>
    <mergeCell ref="C43:M43"/>
    <mergeCell ref="N43:O43"/>
    <mergeCell ref="C67:M67"/>
    <mergeCell ref="N67:O6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O234"/>
  <sheetViews>
    <sheetView workbookViewId="0">
      <selection activeCell="J241" sqref="J241"/>
    </sheetView>
  </sheetViews>
  <sheetFormatPr baseColWidth="10" defaultRowHeight="15" x14ac:dyDescent="0.25"/>
  <cols>
    <col min="1" max="1" width="3.28515625" customWidth="1"/>
    <col min="2" max="2" width="31.140625" bestFit="1" customWidth="1"/>
    <col min="3" max="14" width="10" customWidth="1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" thickBot="1" x14ac:dyDescent="0.3">
      <c r="A2" s="1"/>
      <c r="B2" s="1"/>
      <c r="C2" s="196" t="s">
        <v>0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6">
        <f>+[2]INICIO!M4</f>
        <v>2016</v>
      </c>
      <c r="O2" s="198"/>
    </row>
    <row r="3" spans="1:15" ht="15.75" thickBot="1" x14ac:dyDescent="0.3">
      <c r="A3" s="1"/>
      <c r="B3" s="1"/>
      <c r="C3" s="39">
        <v>31</v>
      </c>
      <c r="D3" s="39">
        <v>29</v>
      </c>
      <c r="E3" s="39">
        <v>31</v>
      </c>
      <c r="F3" s="39">
        <v>30</v>
      </c>
      <c r="G3" s="39">
        <v>31</v>
      </c>
      <c r="H3" s="39">
        <v>30</v>
      </c>
      <c r="I3" s="39">
        <v>31</v>
      </c>
      <c r="J3" s="39">
        <v>31</v>
      </c>
      <c r="K3" s="39">
        <v>30</v>
      </c>
      <c r="L3" s="39">
        <v>31</v>
      </c>
      <c r="M3" s="39">
        <v>30</v>
      </c>
      <c r="N3" s="39">
        <v>31</v>
      </c>
      <c r="O3" s="86">
        <f>+O42+O64+O84+O104+O124+O144+O177</f>
        <v>176</v>
      </c>
    </row>
    <row r="4" spans="1:15" ht="15.75" thickBot="1" x14ac:dyDescent="0.3">
      <c r="A4" s="1"/>
      <c r="B4" s="5"/>
      <c r="C4" s="83" t="s">
        <v>1</v>
      </c>
      <c r="D4" s="84" t="s">
        <v>2</v>
      </c>
      <c r="E4" s="84" t="s">
        <v>3</v>
      </c>
      <c r="F4" s="84" t="s">
        <v>4</v>
      </c>
      <c r="G4" s="84" t="s">
        <v>5</v>
      </c>
      <c r="H4" s="84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5" t="s">
        <v>12</v>
      </c>
      <c r="O4" s="19" t="s">
        <v>13</v>
      </c>
    </row>
    <row r="5" spans="1:15" ht="15.75" thickBot="1" x14ac:dyDescent="0.3">
      <c r="A5" s="1"/>
      <c r="B5" s="59" t="s">
        <v>14</v>
      </c>
      <c r="C5" s="63">
        <f t="shared" ref="C5:N5" si="0">+C44+C66+C86+C106+C126+C146+C179</f>
        <v>162</v>
      </c>
      <c r="D5" s="72">
        <f t="shared" si="0"/>
        <v>164</v>
      </c>
      <c r="E5" s="72">
        <f t="shared" si="0"/>
        <v>162</v>
      </c>
      <c r="F5" s="72">
        <f t="shared" si="0"/>
        <v>165</v>
      </c>
      <c r="G5" s="72">
        <f t="shared" si="0"/>
        <v>165</v>
      </c>
      <c r="H5" s="72">
        <f t="shared" si="0"/>
        <v>165</v>
      </c>
      <c r="I5" s="72">
        <f t="shared" si="0"/>
        <v>165</v>
      </c>
      <c r="J5" s="72">
        <f t="shared" si="0"/>
        <v>168</v>
      </c>
      <c r="K5" s="72">
        <f t="shared" si="0"/>
        <v>168</v>
      </c>
      <c r="L5" s="72">
        <f t="shared" si="0"/>
        <v>168</v>
      </c>
      <c r="M5" s="72">
        <f t="shared" si="0"/>
        <v>169</v>
      </c>
      <c r="N5" s="108">
        <f t="shared" si="0"/>
        <v>167</v>
      </c>
      <c r="O5" s="109">
        <f>+AVERAGE(C5:N5)</f>
        <v>165.66666666666666</v>
      </c>
    </row>
    <row r="6" spans="1:15" ht="15.75" thickBot="1" x14ac:dyDescent="0.3">
      <c r="A6" s="1"/>
      <c r="B6" s="60" t="s">
        <v>15</v>
      </c>
      <c r="C6" s="20">
        <f t="shared" ref="C6:N6" si="1">+C45+C67+C87+C107+C127+C147+C180</f>
        <v>860</v>
      </c>
      <c r="D6" s="21">
        <f t="shared" si="1"/>
        <v>822</v>
      </c>
      <c r="E6" s="21">
        <f t="shared" si="1"/>
        <v>860</v>
      </c>
      <c r="F6" s="21">
        <f t="shared" si="1"/>
        <v>758</v>
      </c>
      <c r="G6" s="21">
        <f t="shared" si="1"/>
        <v>885</v>
      </c>
      <c r="H6" s="21">
        <f t="shared" si="1"/>
        <v>726</v>
      </c>
      <c r="I6" s="21">
        <f t="shared" si="1"/>
        <v>740</v>
      </c>
      <c r="J6" s="21">
        <f t="shared" si="1"/>
        <v>833</v>
      </c>
      <c r="K6" s="21">
        <f t="shared" si="1"/>
        <v>820</v>
      </c>
      <c r="L6" s="21">
        <f t="shared" si="1"/>
        <v>832</v>
      </c>
      <c r="M6" s="21">
        <f t="shared" si="1"/>
        <v>738</v>
      </c>
      <c r="N6" s="110">
        <f t="shared" si="1"/>
        <v>736</v>
      </c>
      <c r="O6" s="111">
        <f t="shared" ref="O6:O35" si="2">+SUM(C6:N6)</f>
        <v>9610</v>
      </c>
    </row>
    <row r="7" spans="1:15" ht="15.75" thickBot="1" x14ac:dyDescent="0.3">
      <c r="A7" s="1"/>
      <c r="B7" s="60" t="s">
        <v>16</v>
      </c>
      <c r="C7" s="20">
        <f t="shared" ref="C7:N7" si="3">+C46+C68+C88+C108+C128+C148+C181</f>
        <v>826</v>
      </c>
      <c r="D7" s="21">
        <f t="shared" si="3"/>
        <v>807</v>
      </c>
      <c r="E7" s="21">
        <f t="shared" si="3"/>
        <v>844</v>
      </c>
      <c r="F7" s="21">
        <f t="shared" si="3"/>
        <v>787</v>
      </c>
      <c r="G7" s="21">
        <f t="shared" si="3"/>
        <v>873</v>
      </c>
      <c r="H7" s="21">
        <f t="shared" si="3"/>
        <v>737</v>
      </c>
      <c r="I7" s="21">
        <f t="shared" si="3"/>
        <v>754</v>
      </c>
      <c r="J7" s="21">
        <f t="shared" si="3"/>
        <v>821</v>
      </c>
      <c r="K7" s="21">
        <f t="shared" si="3"/>
        <v>811</v>
      </c>
      <c r="L7" s="21">
        <f t="shared" si="3"/>
        <v>820</v>
      </c>
      <c r="M7" s="21">
        <f t="shared" si="3"/>
        <v>743</v>
      </c>
      <c r="N7" s="110">
        <f t="shared" si="3"/>
        <v>761</v>
      </c>
      <c r="O7" s="111">
        <f t="shared" si="2"/>
        <v>9584</v>
      </c>
    </row>
    <row r="8" spans="1:15" ht="15.75" thickBot="1" x14ac:dyDescent="0.3">
      <c r="A8" s="1"/>
      <c r="B8" s="59" t="s">
        <v>17</v>
      </c>
      <c r="C8" s="64">
        <f t="shared" ref="C8:N8" si="4">+C5*C3</f>
        <v>5022</v>
      </c>
      <c r="D8" s="43">
        <f t="shared" si="4"/>
        <v>4756</v>
      </c>
      <c r="E8" s="43">
        <f t="shared" si="4"/>
        <v>5022</v>
      </c>
      <c r="F8" s="43">
        <f t="shared" si="4"/>
        <v>4950</v>
      </c>
      <c r="G8" s="43">
        <f t="shared" si="4"/>
        <v>5115</v>
      </c>
      <c r="H8" s="43">
        <f t="shared" si="4"/>
        <v>4950</v>
      </c>
      <c r="I8" s="43">
        <f t="shared" si="4"/>
        <v>5115</v>
      </c>
      <c r="J8" s="43">
        <f t="shared" si="4"/>
        <v>5208</v>
      </c>
      <c r="K8" s="43">
        <f t="shared" si="4"/>
        <v>5040</v>
      </c>
      <c r="L8" s="43">
        <f t="shared" si="4"/>
        <v>5208</v>
      </c>
      <c r="M8" s="43">
        <f t="shared" si="4"/>
        <v>5070</v>
      </c>
      <c r="N8" s="112">
        <f t="shared" si="4"/>
        <v>5177</v>
      </c>
      <c r="O8" s="111">
        <f t="shared" si="2"/>
        <v>60633</v>
      </c>
    </row>
    <row r="9" spans="1:15" ht="15.75" thickBot="1" x14ac:dyDescent="0.3">
      <c r="A9" s="1"/>
      <c r="B9" s="59" t="s">
        <v>18</v>
      </c>
      <c r="C9" s="20">
        <f t="shared" ref="C9:N9" si="5">+C48+C70+C90+C110+C130+C150+C183</f>
        <v>2461</v>
      </c>
      <c r="D9" s="21">
        <f t="shared" si="5"/>
        <v>2154</v>
      </c>
      <c r="E9" s="21">
        <f t="shared" si="5"/>
        <v>2202</v>
      </c>
      <c r="F9" s="21">
        <f t="shared" si="5"/>
        <v>2052</v>
      </c>
      <c r="G9" s="21">
        <f t="shared" si="5"/>
        <v>2688</v>
      </c>
      <c r="H9" s="21">
        <f t="shared" si="5"/>
        <v>2253</v>
      </c>
      <c r="I9" s="21">
        <f t="shared" si="5"/>
        <v>2499</v>
      </c>
      <c r="J9" s="21">
        <f t="shared" si="5"/>
        <v>2526</v>
      </c>
      <c r="K9" s="21">
        <f t="shared" si="5"/>
        <v>2464</v>
      </c>
      <c r="L9" s="21">
        <f t="shared" si="5"/>
        <v>2540</v>
      </c>
      <c r="M9" s="21">
        <f t="shared" si="5"/>
        <v>1982</v>
      </c>
      <c r="N9" s="110">
        <f t="shared" si="5"/>
        <v>1991</v>
      </c>
      <c r="O9" s="111">
        <f t="shared" si="2"/>
        <v>27812</v>
      </c>
    </row>
    <row r="10" spans="1:15" ht="15.75" thickBot="1" x14ac:dyDescent="0.3">
      <c r="A10" s="1"/>
      <c r="B10" s="59" t="s">
        <v>19</v>
      </c>
      <c r="C10" s="20">
        <f t="shared" ref="C10:N10" si="6">+C49+C71+C91+C111+C131+C151+C184</f>
        <v>3005</v>
      </c>
      <c r="D10" s="21">
        <f t="shared" si="6"/>
        <v>3005</v>
      </c>
      <c r="E10" s="21">
        <f t="shared" si="6"/>
        <v>3095</v>
      </c>
      <c r="F10" s="21">
        <f t="shared" si="6"/>
        <v>3204</v>
      </c>
      <c r="G10" s="21">
        <f t="shared" si="6"/>
        <v>3441</v>
      </c>
      <c r="H10" s="21">
        <f t="shared" si="6"/>
        <v>2846</v>
      </c>
      <c r="I10" s="21">
        <f t="shared" si="6"/>
        <v>3139</v>
      </c>
      <c r="J10" s="21">
        <f t="shared" si="6"/>
        <v>3062</v>
      </c>
      <c r="K10" s="21">
        <f t="shared" si="6"/>
        <v>2843</v>
      </c>
      <c r="L10" s="21">
        <f t="shared" si="6"/>
        <v>3249</v>
      </c>
      <c r="M10" s="21">
        <f t="shared" si="6"/>
        <v>3031</v>
      </c>
      <c r="N10" s="110">
        <f t="shared" si="6"/>
        <v>3290</v>
      </c>
      <c r="O10" s="111">
        <f t="shared" si="2"/>
        <v>37210</v>
      </c>
    </row>
    <row r="11" spans="1:15" ht="15.75" thickBot="1" x14ac:dyDescent="0.3">
      <c r="A11" s="1"/>
      <c r="B11" s="59" t="s">
        <v>20</v>
      </c>
      <c r="C11" s="79">
        <f t="shared" ref="C11:N11" si="7">+C50+C72+C92+C112+C132+C152+C185</f>
        <v>3246</v>
      </c>
      <c r="D11" s="76">
        <f t="shared" si="7"/>
        <v>3043</v>
      </c>
      <c r="E11" s="76">
        <f t="shared" si="7"/>
        <v>3766</v>
      </c>
      <c r="F11" s="76">
        <f t="shared" si="7"/>
        <v>3346</v>
      </c>
      <c r="G11" s="76">
        <f t="shared" si="7"/>
        <v>3391</v>
      </c>
      <c r="H11" s="76">
        <f t="shared" si="7"/>
        <v>2611</v>
      </c>
      <c r="I11" s="76">
        <f t="shared" si="7"/>
        <v>2965</v>
      </c>
      <c r="J11" s="76">
        <f t="shared" si="7"/>
        <v>3186</v>
      </c>
      <c r="K11" s="76">
        <f t="shared" si="7"/>
        <v>3401</v>
      </c>
      <c r="L11" s="76">
        <f t="shared" si="7"/>
        <v>3667</v>
      </c>
      <c r="M11" s="76">
        <f t="shared" si="7"/>
        <v>3233</v>
      </c>
      <c r="N11" s="113">
        <f t="shared" si="7"/>
        <v>3065</v>
      </c>
      <c r="O11" s="114">
        <f t="shared" si="2"/>
        <v>38920</v>
      </c>
    </row>
    <row r="12" spans="1:15" ht="15.75" thickBot="1" x14ac:dyDescent="0.3">
      <c r="A12" s="1"/>
      <c r="B12" s="61" t="s">
        <v>21</v>
      </c>
      <c r="C12" s="70">
        <f>+IF(C7&gt;0,C9/C7,"")</f>
        <v>2.9794188861985473</v>
      </c>
      <c r="D12" s="71">
        <f t="shared" ref="D12:O12" si="8">+IF(D7&gt;0,D9/D7,"")</f>
        <v>2.6691449814126393</v>
      </c>
      <c r="E12" s="71">
        <f t="shared" si="8"/>
        <v>2.609004739336493</v>
      </c>
      <c r="F12" s="71">
        <f t="shared" si="8"/>
        <v>2.607369758576874</v>
      </c>
      <c r="G12" s="71">
        <f t="shared" si="8"/>
        <v>3.0790378006872854</v>
      </c>
      <c r="H12" s="71">
        <f t="shared" si="8"/>
        <v>3.0569877883310719</v>
      </c>
      <c r="I12" s="71">
        <f t="shared" si="8"/>
        <v>3.3143236074270557</v>
      </c>
      <c r="J12" s="71">
        <f t="shared" si="8"/>
        <v>3.0767356881851402</v>
      </c>
      <c r="K12" s="71">
        <f t="shared" si="8"/>
        <v>3.038224414303329</v>
      </c>
      <c r="L12" s="71">
        <f t="shared" si="8"/>
        <v>3.0975609756097562</v>
      </c>
      <c r="M12" s="71">
        <f t="shared" si="8"/>
        <v>2.667563930013459</v>
      </c>
      <c r="N12" s="73">
        <f t="shared" si="8"/>
        <v>2.616294349540079</v>
      </c>
      <c r="O12" s="115">
        <f t="shared" si="8"/>
        <v>2.9019198664440733</v>
      </c>
    </row>
    <row r="13" spans="1:15" ht="15.75" thickBot="1" x14ac:dyDescent="0.3">
      <c r="A13" s="1"/>
      <c r="B13" s="61" t="s">
        <v>23</v>
      </c>
      <c r="C13" s="70">
        <f t="shared" ref="C13:N13" si="9">+IF(C7&gt;0,C7/C5,"")</f>
        <v>5.0987654320987659</v>
      </c>
      <c r="D13" s="71">
        <f t="shared" si="9"/>
        <v>4.9207317073170733</v>
      </c>
      <c r="E13" s="71">
        <f t="shared" si="9"/>
        <v>5.2098765432098766</v>
      </c>
      <c r="F13" s="71">
        <f t="shared" si="9"/>
        <v>4.7696969696969695</v>
      </c>
      <c r="G13" s="71">
        <f t="shared" si="9"/>
        <v>5.290909090909091</v>
      </c>
      <c r="H13" s="71">
        <f t="shared" si="9"/>
        <v>4.4666666666666668</v>
      </c>
      <c r="I13" s="71">
        <f t="shared" si="9"/>
        <v>4.5696969696969694</v>
      </c>
      <c r="J13" s="71">
        <f t="shared" si="9"/>
        <v>4.8869047619047619</v>
      </c>
      <c r="K13" s="71">
        <f t="shared" si="9"/>
        <v>4.8273809523809526</v>
      </c>
      <c r="L13" s="71">
        <f t="shared" si="9"/>
        <v>4.8809523809523814</v>
      </c>
      <c r="M13" s="71">
        <f t="shared" si="9"/>
        <v>4.3964497041420119</v>
      </c>
      <c r="N13" s="73">
        <f t="shared" si="9"/>
        <v>4.5568862275449105</v>
      </c>
      <c r="O13" s="116">
        <f>+IF(O7&gt;0,AVERAGE(C7:N7)/O5,"")</f>
        <v>4.8209255533199196</v>
      </c>
    </row>
    <row r="14" spans="1:15" ht="15.75" thickBot="1" x14ac:dyDescent="0.3">
      <c r="A14" s="1"/>
      <c r="B14" s="61" t="s">
        <v>24</v>
      </c>
      <c r="C14" s="70">
        <f t="shared" ref="C14:O14" si="10">+IF(C7&gt;0,(C8-C11)/C7,"")</f>
        <v>2.1501210653753025</v>
      </c>
      <c r="D14" s="71">
        <f t="shared" si="10"/>
        <v>2.1226765799256504</v>
      </c>
      <c r="E14" s="71">
        <f t="shared" si="10"/>
        <v>1.4881516587677726</v>
      </c>
      <c r="F14" s="71">
        <f t="shared" si="10"/>
        <v>2.0381194409148664</v>
      </c>
      <c r="G14" s="71">
        <f t="shared" si="10"/>
        <v>1.9747995418098512</v>
      </c>
      <c r="H14" s="71">
        <f t="shared" si="10"/>
        <v>3.1736770691994574</v>
      </c>
      <c r="I14" s="71">
        <f t="shared" si="10"/>
        <v>2.8514588859416445</v>
      </c>
      <c r="J14" s="71">
        <f t="shared" si="10"/>
        <v>2.4628501827040195</v>
      </c>
      <c r="K14" s="71">
        <f t="shared" si="10"/>
        <v>2.0209617755856968</v>
      </c>
      <c r="L14" s="71">
        <f t="shared" si="10"/>
        <v>1.8792682926829267</v>
      </c>
      <c r="M14" s="71">
        <f t="shared" si="10"/>
        <v>2.4724091520861373</v>
      </c>
      <c r="N14" s="73">
        <f t="shared" si="10"/>
        <v>2.7752956636005255</v>
      </c>
      <c r="O14" s="115">
        <f t="shared" si="10"/>
        <v>2.2655467445742903</v>
      </c>
    </row>
    <row r="15" spans="1:15" ht="15.75" thickBot="1" x14ac:dyDescent="0.3">
      <c r="A15" s="1"/>
      <c r="B15" s="61" t="s">
        <v>25</v>
      </c>
      <c r="C15" s="70">
        <f>+IF(C11&gt;0,(C11/C8)*100,"")</f>
        <v>64.635603345280771</v>
      </c>
      <c r="D15" s="71">
        <f t="shared" ref="D15:O15" si="11">+IF(D11&gt;0,(D11/D8)*100,"")</f>
        <v>63.982338099243066</v>
      </c>
      <c r="E15" s="71">
        <f t="shared" si="11"/>
        <v>74.990043807248114</v>
      </c>
      <c r="F15" s="71">
        <f t="shared" si="11"/>
        <v>67.595959595959599</v>
      </c>
      <c r="G15" s="71">
        <f t="shared" si="11"/>
        <v>66.29521016617791</v>
      </c>
      <c r="H15" s="71">
        <f t="shared" si="11"/>
        <v>52.74747474747474</v>
      </c>
      <c r="I15" s="71">
        <f t="shared" si="11"/>
        <v>57.966764418377323</v>
      </c>
      <c r="J15" s="71">
        <f t="shared" si="11"/>
        <v>61.175115207373274</v>
      </c>
      <c r="K15" s="71">
        <f t="shared" si="11"/>
        <v>67.480158730158735</v>
      </c>
      <c r="L15" s="71">
        <f t="shared" si="11"/>
        <v>70.41090629800307</v>
      </c>
      <c r="M15" s="71">
        <f t="shared" si="11"/>
        <v>63.767258382643</v>
      </c>
      <c r="N15" s="73">
        <f t="shared" si="11"/>
        <v>59.204172300560167</v>
      </c>
      <c r="O15" s="115">
        <f t="shared" si="11"/>
        <v>64.189467781571096</v>
      </c>
    </row>
    <row r="16" spans="1:15" ht="15.75" thickBot="1" x14ac:dyDescent="0.3">
      <c r="A16" s="1"/>
      <c r="B16" s="59" t="s">
        <v>26</v>
      </c>
      <c r="C16" s="64">
        <f>+SUM(C17:C18)</f>
        <v>14</v>
      </c>
      <c r="D16" s="43">
        <f t="shared" ref="D16:N16" si="12">+SUM(D17:D18)</f>
        <v>10</v>
      </c>
      <c r="E16" s="43">
        <f t="shared" si="12"/>
        <v>21</v>
      </c>
      <c r="F16" s="43">
        <f t="shared" si="12"/>
        <v>20</v>
      </c>
      <c r="G16" s="43">
        <f t="shared" si="12"/>
        <v>17</v>
      </c>
      <c r="H16" s="43">
        <f t="shared" si="12"/>
        <v>12</v>
      </c>
      <c r="I16" s="43">
        <f t="shared" si="12"/>
        <v>12</v>
      </c>
      <c r="J16" s="43">
        <f t="shared" si="12"/>
        <v>18</v>
      </c>
      <c r="K16" s="43">
        <f t="shared" si="12"/>
        <v>15</v>
      </c>
      <c r="L16" s="43">
        <f t="shared" si="12"/>
        <v>18</v>
      </c>
      <c r="M16" s="43">
        <f t="shared" si="12"/>
        <v>18</v>
      </c>
      <c r="N16" s="112">
        <f t="shared" si="12"/>
        <v>20</v>
      </c>
      <c r="O16" s="111">
        <f t="shared" si="2"/>
        <v>195</v>
      </c>
    </row>
    <row r="17" spans="1:15" ht="15.75" thickBot="1" x14ac:dyDescent="0.3">
      <c r="A17" s="1"/>
      <c r="B17" s="59" t="s">
        <v>27</v>
      </c>
      <c r="C17" s="22">
        <f t="shared" ref="C17:N17" si="13">+C56+C78+C98+C118+C138+C158+C191</f>
        <v>11</v>
      </c>
      <c r="D17" s="23">
        <f t="shared" si="13"/>
        <v>6</v>
      </c>
      <c r="E17" s="23">
        <f t="shared" si="13"/>
        <v>12</v>
      </c>
      <c r="F17" s="23">
        <f t="shared" si="13"/>
        <v>11</v>
      </c>
      <c r="G17" s="23">
        <f t="shared" si="13"/>
        <v>13</v>
      </c>
      <c r="H17" s="23">
        <f t="shared" si="13"/>
        <v>12</v>
      </c>
      <c r="I17" s="23">
        <f t="shared" si="13"/>
        <v>8</v>
      </c>
      <c r="J17" s="23">
        <f t="shared" si="13"/>
        <v>9</v>
      </c>
      <c r="K17" s="23">
        <f t="shared" si="13"/>
        <v>11</v>
      </c>
      <c r="L17" s="23">
        <f t="shared" si="13"/>
        <v>16</v>
      </c>
      <c r="M17" s="23">
        <f t="shared" si="13"/>
        <v>9</v>
      </c>
      <c r="N17" s="117">
        <f t="shared" si="13"/>
        <v>13</v>
      </c>
      <c r="O17" s="111">
        <f t="shared" si="2"/>
        <v>131</v>
      </c>
    </row>
    <row r="18" spans="1:15" ht="15.75" thickBot="1" x14ac:dyDescent="0.3">
      <c r="A18" s="1"/>
      <c r="B18" s="59" t="s">
        <v>28</v>
      </c>
      <c r="C18" s="22">
        <f t="shared" ref="C18:N18" si="14">+C57+C79+C99+C119+C139+C159+C192</f>
        <v>3</v>
      </c>
      <c r="D18" s="23">
        <f t="shared" si="14"/>
        <v>4</v>
      </c>
      <c r="E18" s="23">
        <f t="shared" si="14"/>
        <v>9</v>
      </c>
      <c r="F18" s="23">
        <f t="shared" si="14"/>
        <v>9</v>
      </c>
      <c r="G18" s="23">
        <f t="shared" si="14"/>
        <v>4</v>
      </c>
      <c r="H18" s="23">
        <f t="shared" si="14"/>
        <v>0</v>
      </c>
      <c r="I18" s="23">
        <f t="shared" si="14"/>
        <v>4</v>
      </c>
      <c r="J18" s="23">
        <f t="shared" si="14"/>
        <v>9</v>
      </c>
      <c r="K18" s="23">
        <f t="shared" si="14"/>
        <v>4</v>
      </c>
      <c r="L18" s="23">
        <f t="shared" si="14"/>
        <v>2</v>
      </c>
      <c r="M18" s="23">
        <f t="shared" si="14"/>
        <v>9</v>
      </c>
      <c r="N18" s="117">
        <f t="shared" si="14"/>
        <v>7</v>
      </c>
      <c r="O18" s="111">
        <f t="shared" si="2"/>
        <v>64</v>
      </c>
    </row>
    <row r="19" spans="1:15" ht="15.75" thickBot="1" x14ac:dyDescent="0.3">
      <c r="A19" s="1"/>
      <c r="B19" s="61" t="s">
        <v>29</v>
      </c>
      <c r="C19" s="70">
        <f t="shared" ref="C19:O19" si="15">+IF(C7&gt;0,(C16/C7)*100,"")</f>
        <v>1.6949152542372881</v>
      </c>
      <c r="D19" s="71">
        <f t="shared" si="15"/>
        <v>1.2391573729863694</v>
      </c>
      <c r="E19" s="71">
        <f t="shared" si="15"/>
        <v>2.4881516587677726</v>
      </c>
      <c r="F19" s="71">
        <f t="shared" si="15"/>
        <v>2.5412960609911055</v>
      </c>
      <c r="G19" s="71">
        <f t="shared" si="15"/>
        <v>1.9473081328751431</v>
      </c>
      <c r="H19" s="71">
        <f t="shared" si="15"/>
        <v>1.6282225237449117</v>
      </c>
      <c r="I19" s="71">
        <f t="shared" si="15"/>
        <v>1.5915119363395225</v>
      </c>
      <c r="J19" s="71">
        <f t="shared" si="15"/>
        <v>2.1924482338611448</v>
      </c>
      <c r="K19" s="71">
        <f t="shared" si="15"/>
        <v>1.8495684340320593</v>
      </c>
      <c r="L19" s="71">
        <f t="shared" si="15"/>
        <v>2.1951219512195119</v>
      </c>
      <c r="M19" s="71">
        <f t="shared" si="15"/>
        <v>2.4226110363391657</v>
      </c>
      <c r="N19" s="73">
        <f t="shared" si="15"/>
        <v>2.6281208935611038</v>
      </c>
      <c r="O19" s="115">
        <f t="shared" si="15"/>
        <v>2.0346410684474123</v>
      </c>
    </row>
    <row r="20" spans="1:15" ht="15.75" thickBot="1" x14ac:dyDescent="0.3">
      <c r="A20" s="1"/>
      <c r="B20" s="61" t="s">
        <v>30</v>
      </c>
      <c r="C20" s="70">
        <f t="shared" ref="C20:O20" si="16">+IF(C7&gt;0,(C17/C7)*100,"")</f>
        <v>1.331719128329298</v>
      </c>
      <c r="D20" s="71">
        <f t="shared" si="16"/>
        <v>0.74349442379182151</v>
      </c>
      <c r="E20" s="71">
        <f t="shared" si="16"/>
        <v>1.4218009478672986</v>
      </c>
      <c r="F20" s="71">
        <f t="shared" si="16"/>
        <v>1.3977128335451081</v>
      </c>
      <c r="G20" s="71">
        <f t="shared" si="16"/>
        <v>1.4891179839633446</v>
      </c>
      <c r="H20" s="71">
        <f t="shared" si="16"/>
        <v>1.6282225237449117</v>
      </c>
      <c r="I20" s="71">
        <f t="shared" si="16"/>
        <v>1.0610079575596816</v>
      </c>
      <c r="J20" s="71">
        <f t="shared" si="16"/>
        <v>1.0962241169305724</v>
      </c>
      <c r="K20" s="71">
        <f t="shared" si="16"/>
        <v>1.3563501849568433</v>
      </c>
      <c r="L20" s="71">
        <f t="shared" si="16"/>
        <v>1.9512195121951219</v>
      </c>
      <c r="M20" s="71">
        <f t="shared" si="16"/>
        <v>1.2113055181695829</v>
      </c>
      <c r="N20" s="73">
        <f t="shared" si="16"/>
        <v>1.7082785808147174</v>
      </c>
      <c r="O20" s="115">
        <f t="shared" si="16"/>
        <v>1.3668614357262103</v>
      </c>
    </row>
    <row r="21" spans="1:15" ht="15.75" thickBot="1" x14ac:dyDescent="0.3">
      <c r="A21" s="1"/>
      <c r="B21" s="59" t="s">
        <v>31</v>
      </c>
      <c r="C21" s="22">
        <f t="shared" ref="C21:N21" si="17">+C60+C80+C100+C120+C140+C160+C193</f>
        <v>1</v>
      </c>
      <c r="D21" s="23">
        <f t="shared" si="17"/>
        <v>0</v>
      </c>
      <c r="E21" s="23">
        <f t="shared" si="17"/>
        <v>6</v>
      </c>
      <c r="F21" s="23">
        <f t="shared" si="17"/>
        <v>3</v>
      </c>
      <c r="G21" s="23">
        <f t="shared" si="17"/>
        <v>2</v>
      </c>
      <c r="H21" s="23">
        <f t="shared" si="17"/>
        <v>1</v>
      </c>
      <c r="I21" s="23">
        <f t="shared" si="17"/>
        <v>4</v>
      </c>
      <c r="J21" s="23">
        <f t="shared" si="17"/>
        <v>4</v>
      </c>
      <c r="K21" s="23">
        <f t="shared" si="17"/>
        <v>1</v>
      </c>
      <c r="L21" s="23">
        <f t="shared" si="17"/>
        <v>1</v>
      </c>
      <c r="M21" s="23">
        <f t="shared" si="17"/>
        <v>7</v>
      </c>
      <c r="N21" s="117">
        <f t="shared" si="17"/>
        <v>3</v>
      </c>
      <c r="O21" s="111">
        <f t="shared" si="2"/>
        <v>33</v>
      </c>
    </row>
    <row r="22" spans="1:15" ht="15.75" thickBot="1" x14ac:dyDescent="0.3">
      <c r="A22" s="1"/>
      <c r="B22" s="61" t="s">
        <v>32</v>
      </c>
      <c r="C22" s="70">
        <f t="shared" ref="C22:O22" si="18">+IF(C7&gt;0,(C21/C7)*100,"")</f>
        <v>0.12106537530266344</v>
      </c>
      <c r="D22" s="71">
        <f t="shared" si="18"/>
        <v>0</v>
      </c>
      <c r="E22" s="71">
        <f t="shared" si="18"/>
        <v>0.7109004739336493</v>
      </c>
      <c r="F22" s="71">
        <f t="shared" si="18"/>
        <v>0.38119440914866581</v>
      </c>
      <c r="G22" s="71">
        <f t="shared" si="18"/>
        <v>0.22909507445589922</v>
      </c>
      <c r="H22" s="71">
        <f t="shared" si="18"/>
        <v>0.13568521031207598</v>
      </c>
      <c r="I22" s="71">
        <f t="shared" si="18"/>
        <v>0.53050397877984079</v>
      </c>
      <c r="J22" s="71">
        <f t="shared" si="18"/>
        <v>0.48721071863580995</v>
      </c>
      <c r="K22" s="71">
        <f t="shared" si="18"/>
        <v>0.12330456226880394</v>
      </c>
      <c r="L22" s="71">
        <f t="shared" si="18"/>
        <v>0.12195121951219512</v>
      </c>
      <c r="M22" s="71">
        <f t="shared" si="18"/>
        <v>0.94212651413189774</v>
      </c>
      <c r="N22" s="73">
        <f t="shared" si="18"/>
        <v>0.39421813403416556</v>
      </c>
      <c r="O22" s="115">
        <f t="shared" si="18"/>
        <v>0.34432387312186979</v>
      </c>
    </row>
    <row r="23" spans="1:15" ht="15.75" thickBot="1" x14ac:dyDescent="0.3">
      <c r="A23" s="1"/>
      <c r="B23" s="59" t="s">
        <v>33</v>
      </c>
      <c r="C23" s="22">
        <f>+C161</f>
        <v>262</v>
      </c>
      <c r="D23" s="23">
        <f t="shared" ref="D23:N23" si="19">+D161</f>
        <v>275</v>
      </c>
      <c r="E23" s="23">
        <f t="shared" si="19"/>
        <v>266</v>
      </c>
      <c r="F23" s="23">
        <f t="shared" si="19"/>
        <v>279</v>
      </c>
      <c r="G23" s="23">
        <f t="shared" si="19"/>
        <v>290</v>
      </c>
      <c r="H23" s="23">
        <f t="shared" si="19"/>
        <v>261</v>
      </c>
      <c r="I23" s="23">
        <f t="shared" si="19"/>
        <v>242</v>
      </c>
      <c r="J23" s="23">
        <f t="shared" si="19"/>
        <v>261</v>
      </c>
      <c r="K23" s="23">
        <f t="shared" si="19"/>
        <v>261</v>
      </c>
      <c r="L23" s="23">
        <f t="shared" si="19"/>
        <v>240</v>
      </c>
      <c r="M23" s="23">
        <f t="shared" si="19"/>
        <v>242</v>
      </c>
      <c r="N23" s="117">
        <f t="shared" si="19"/>
        <v>230</v>
      </c>
      <c r="O23" s="111">
        <f t="shared" si="2"/>
        <v>3109</v>
      </c>
    </row>
    <row r="24" spans="1:15" ht="15.75" thickBot="1" x14ac:dyDescent="0.3">
      <c r="A24" s="1"/>
      <c r="B24" s="59" t="s">
        <v>34</v>
      </c>
      <c r="C24" s="22">
        <f t="shared" ref="C24:N35" si="20">+C162</f>
        <v>254</v>
      </c>
      <c r="D24" s="23">
        <f t="shared" si="20"/>
        <v>272</v>
      </c>
      <c r="E24" s="23">
        <f t="shared" si="20"/>
        <v>263</v>
      </c>
      <c r="F24" s="23">
        <f t="shared" si="20"/>
        <v>279</v>
      </c>
      <c r="G24" s="23">
        <f t="shared" si="20"/>
        <v>290</v>
      </c>
      <c r="H24" s="23">
        <f t="shared" si="20"/>
        <v>261</v>
      </c>
      <c r="I24" s="23">
        <f t="shared" si="20"/>
        <v>242</v>
      </c>
      <c r="J24" s="23">
        <f t="shared" si="20"/>
        <v>262</v>
      </c>
      <c r="K24" s="23">
        <f t="shared" si="20"/>
        <v>262</v>
      </c>
      <c r="L24" s="23">
        <f t="shared" si="20"/>
        <v>238</v>
      </c>
      <c r="M24" s="23">
        <f t="shared" si="20"/>
        <v>242</v>
      </c>
      <c r="N24" s="117">
        <f t="shared" si="20"/>
        <v>229</v>
      </c>
      <c r="O24" s="111">
        <f t="shared" si="2"/>
        <v>3094</v>
      </c>
    </row>
    <row r="25" spans="1:15" ht="15.75" thickBot="1" x14ac:dyDescent="0.3">
      <c r="A25" s="1"/>
      <c r="B25" s="59" t="s">
        <v>35</v>
      </c>
      <c r="C25" s="22">
        <f t="shared" si="20"/>
        <v>66</v>
      </c>
      <c r="D25" s="23">
        <f t="shared" si="20"/>
        <v>56</v>
      </c>
      <c r="E25" s="23">
        <f t="shared" si="20"/>
        <v>51</v>
      </c>
      <c r="F25" s="23">
        <f t="shared" si="20"/>
        <v>53</v>
      </c>
      <c r="G25" s="23">
        <f t="shared" si="20"/>
        <v>54</v>
      </c>
      <c r="H25" s="23">
        <f t="shared" si="20"/>
        <v>46</v>
      </c>
      <c r="I25" s="23">
        <f t="shared" si="20"/>
        <v>52</v>
      </c>
      <c r="J25" s="23">
        <f t="shared" si="20"/>
        <v>52</v>
      </c>
      <c r="K25" s="23" t="s">
        <v>65</v>
      </c>
      <c r="L25" s="23">
        <f t="shared" si="20"/>
        <v>46</v>
      </c>
      <c r="M25" s="23">
        <f t="shared" si="20"/>
        <v>51</v>
      </c>
      <c r="N25" s="117">
        <f t="shared" si="20"/>
        <v>67</v>
      </c>
      <c r="O25" s="111">
        <f t="shared" si="2"/>
        <v>594</v>
      </c>
    </row>
    <row r="26" spans="1:15" ht="15.75" thickBot="1" x14ac:dyDescent="0.3">
      <c r="A26" s="1"/>
      <c r="B26" s="60" t="s">
        <v>36</v>
      </c>
      <c r="C26" s="22">
        <f t="shared" si="20"/>
        <v>117</v>
      </c>
      <c r="D26" s="23">
        <f t="shared" si="20"/>
        <v>111</v>
      </c>
      <c r="E26" s="23">
        <f t="shared" si="20"/>
        <v>106</v>
      </c>
      <c r="F26" s="23">
        <f t="shared" si="20"/>
        <v>99</v>
      </c>
      <c r="G26" s="23">
        <f t="shared" si="20"/>
        <v>76</v>
      </c>
      <c r="H26" s="23">
        <f t="shared" si="20"/>
        <v>96</v>
      </c>
      <c r="I26" s="23">
        <f t="shared" si="20"/>
        <v>103</v>
      </c>
      <c r="J26" s="23">
        <f t="shared" si="20"/>
        <v>94</v>
      </c>
      <c r="K26" s="23">
        <f t="shared" si="20"/>
        <v>94</v>
      </c>
      <c r="L26" s="23">
        <f t="shared" si="20"/>
        <v>94</v>
      </c>
      <c r="M26" s="23">
        <f t="shared" si="20"/>
        <v>92</v>
      </c>
      <c r="N26" s="117">
        <f t="shared" si="20"/>
        <v>77</v>
      </c>
      <c r="O26" s="111">
        <f t="shared" si="2"/>
        <v>1159</v>
      </c>
    </row>
    <row r="27" spans="1:15" ht="15.75" thickBot="1" x14ac:dyDescent="0.3">
      <c r="A27" s="1"/>
      <c r="B27" s="60" t="s">
        <v>37</v>
      </c>
      <c r="C27" s="22">
        <f t="shared" si="20"/>
        <v>64</v>
      </c>
      <c r="D27" s="23">
        <f t="shared" si="20"/>
        <v>56</v>
      </c>
      <c r="E27" s="23">
        <f t="shared" si="20"/>
        <v>51</v>
      </c>
      <c r="F27" s="23">
        <f t="shared" si="20"/>
        <v>53</v>
      </c>
      <c r="G27" s="23">
        <f t="shared" si="20"/>
        <v>54</v>
      </c>
      <c r="H27" s="23">
        <f t="shared" si="20"/>
        <v>53</v>
      </c>
      <c r="I27" s="23">
        <f t="shared" si="20"/>
        <v>52</v>
      </c>
      <c r="J27" s="23">
        <f t="shared" si="20"/>
        <v>52</v>
      </c>
      <c r="K27" s="23">
        <f t="shared" si="20"/>
        <v>55</v>
      </c>
      <c r="L27" s="23">
        <f t="shared" si="20"/>
        <v>46</v>
      </c>
      <c r="M27" s="23">
        <f t="shared" si="20"/>
        <v>51</v>
      </c>
      <c r="N27" s="117">
        <f t="shared" si="20"/>
        <v>67</v>
      </c>
      <c r="O27" s="111">
        <f t="shared" si="2"/>
        <v>654</v>
      </c>
    </row>
    <row r="28" spans="1:15" ht="15.75" thickBot="1" x14ac:dyDescent="0.3">
      <c r="A28" s="1"/>
      <c r="B28" s="60" t="s">
        <v>38</v>
      </c>
      <c r="C28" s="22">
        <f t="shared" si="20"/>
        <v>2</v>
      </c>
      <c r="D28" s="23">
        <f t="shared" si="20"/>
        <v>0</v>
      </c>
      <c r="E28" s="23">
        <f t="shared" si="20"/>
        <v>0</v>
      </c>
      <c r="F28" s="23">
        <f t="shared" si="20"/>
        <v>0</v>
      </c>
      <c r="G28" s="23">
        <f t="shared" si="20"/>
        <v>0</v>
      </c>
      <c r="H28" s="23">
        <f t="shared" si="20"/>
        <v>0</v>
      </c>
      <c r="I28" s="23">
        <f t="shared" si="20"/>
        <v>7</v>
      </c>
      <c r="J28" s="23">
        <f t="shared" si="20"/>
        <v>7</v>
      </c>
      <c r="K28" s="23">
        <f t="shared" si="20"/>
        <v>6</v>
      </c>
      <c r="L28" s="23">
        <f t="shared" si="20"/>
        <v>6</v>
      </c>
      <c r="M28" s="23">
        <f t="shared" si="20"/>
        <v>5</v>
      </c>
      <c r="N28" s="117">
        <f t="shared" si="20"/>
        <v>0</v>
      </c>
      <c r="O28" s="111">
        <f t="shared" si="2"/>
        <v>33</v>
      </c>
    </row>
    <row r="29" spans="1:15" ht="15.75" thickBot="1" x14ac:dyDescent="0.3">
      <c r="A29" s="1"/>
      <c r="B29" s="60" t="s">
        <v>39</v>
      </c>
      <c r="C29" s="22">
        <f t="shared" si="20"/>
        <v>6</v>
      </c>
      <c r="D29" s="23">
        <f t="shared" si="20"/>
        <v>7</v>
      </c>
      <c r="E29" s="23">
        <f t="shared" si="20"/>
        <v>9</v>
      </c>
      <c r="F29" s="23">
        <f t="shared" si="20"/>
        <v>3</v>
      </c>
      <c r="G29" s="23">
        <f t="shared" si="20"/>
        <v>7</v>
      </c>
      <c r="H29" s="23">
        <f t="shared" si="20"/>
        <v>5</v>
      </c>
      <c r="I29" s="23">
        <f t="shared" si="20"/>
        <v>8</v>
      </c>
      <c r="J29" s="23">
        <f t="shared" si="20"/>
        <v>6</v>
      </c>
      <c r="K29" s="23">
        <f t="shared" si="20"/>
        <v>4</v>
      </c>
      <c r="L29" s="23">
        <f t="shared" si="20"/>
        <v>4</v>
      </c>
      <c r="M29" s="23">
        <f t="shared" si="20"/>
        <v>4</v>
      </c>
      <c r="N29" s="117">
        <f t="shared" si="20"/>
        <v>3</v>
      </c>
      <c r="O29" s="111">
        <f t="shared" si="2"/>
        <v>66</v>
      </c>
    </row>
    <row r="30" spans="1:15" ht="15.75" thickBot="1" x14ac:dyDescent="0.3">
      <c r="A30" s="1"/>
      <c r="B30" s="60" t="s">
        <v>40</v>
      </c>
      <c r="C30" s="22">
        <f t="shared" si="20"/>
        <v>145</v>
      </c>
      <c r="D30" s="23">
        <f t="shared" si="20"/>
        <v>164</v>
      </c>
      <c r="E30" s="23">
        <f t="shared" si="20"/>
        <v>160</v>
      </c>
      <c r="F30" s="23">
        <f t="shared" si="20"/>
        <v>180</v>
      </c>
      <c r="G30" s="23">
        <f t="shared" si="20"/>
        <v>214</v>
      </c>
      <c r="H30" s="23">
        <f t="shared" si="20"/>
        <v>165</v>
      </c>
      <c r="I30" s="23">
        <f t="shared" si="20"/>
        <v>131</v>
      </c>
      <c r="J30" s="23">
        <f t="shared" si="20"/>
        <v>161</v>
      </c>
      <c r="K30" s="23">
        <f t="shared" si="20"/>
        <v>163</v>
      </c>
      <c r="L30" s="23">
        <f t="shared" si="20"/>
        <v>144</v>
      </c>
      <c r="M30" s="23">
        <f t="shared" si="20"/>
        <v>146</v>
      </c>
      <c r="N30" s="117">
        <f t="shared" si="20"/>
        <v>150</v>
      </c>
      <c r="O30" s="111">
        <f t="shared" si="2"/>
        <v>1923</v>
      </c>
    </row>
    <row r="31" spans="1:15" ht="15.75" thickBot="1" x14ac:dyDescent="0.3">
      <c r="A31" s="1"/>
      <c r="B31" s="60" t="s">
        <v>41</v>
      </c>
      <c r="C31" s="22">
        <f t="shared" si="20"/>
        <v>0</v>
      </c>
      <c r="D31" s="23">
        <f t="shared" si="20"/>
        <v>0</v>
      </c>
      <c r="E31" s="23">
        <f t="shared" si="20"/>
        <v>0</v>
      </c>
      <c r="F31" s="23">
        <f t="shared" si="20"/>
        <v>0</v>
      </c>
      <c r="G31" s="23">
        <f t="shared" si="20"/>
        <v>0</v>
      </c>
      <c r="H31" s="23">
        <f t="shared" si="20"/>
        <v>0</v>
      </c>
      <c r="I31" s="23">
        <f t="shared" si="20"/>
        <v>0</v>
      </c>
      <c r="J31" s="23">
        <f t="shared" si="20"/>
        <v>0</v>
      </c>
      <c r="K31" s="23">
        <f t="shared" si="20"/>
        <v>1</v>
      </c>
      <c r="L31" s="23">
        <f t="shared" si="20"/>
        <v>0</v>
      </c>
      <c r="M31" s="23">
        <f t="shared" si="20"/>
        <v>0</v>
      </c>
      <c r="N31" s="117">
        <f t="shared" si="20"/>
        <v>0</v>
      </c>
      <c r="O31" s="111">
        <f t="shared" si="2"/>
        <v>1</v>
      </c>
    </row>
    <row r="32" spans="1:15" ht="15.75" thickBot="1" x14ac:dyDescent="0.3">
      <c r="A32" s="1"/>
      <c r="B32" s="60" t="s">
        <v>42</v>
      </c>
      <c r="C32" s="22">
        <f t="shared" si="20"/>
        <v>17</v>
      </c>
      <c r="D32" s="23">
        <f t="shared" si="20"/>
        <v>17</v>
      </c>
      <c r="E32" s="23">
        <f t="shared" si="20"/>
        <v>23</v>
      </c>
      <c r="F32" s="23">
        <f t="shared" si="20"/>
        <v>21</v>
      </c>
      <c r="G32" s="23">
        <f t="shared" si="20"/>
        <v>29</v>
      </c>
      <c r="H32" s="23">
        <f t="shared" si="20"/>
        <v>13</v>
      </c>
      <c r="I32" s="23">
        <f t="shared" si="20"/>
        <v>18</v>
      </c>
      <c r="J32" s="23">
        <f t="shared" si="20"/>
        <v>27</v>
      </c>
      <c r="K32" s="23">
        <f t="shared" si="20"/>
        <v>20</v>
      </c>
      <c r="L32" s="23">
        <f t="shared" si="20"/>
        <v>19</v>
      </c>
      <c r="M32" s="23">
        <f t="shared" si="20"/>
        <v>14</v>
      </c>
      <c r="N32" s="117">
        <f t="shared" si="20"/>
        <v>11</v>
      </c>
      <c r="O32" s="111">
        <f t="shared" si="2"/>
        <v>229</v>
      </c>
    </row>
    <row r="33" spans="1:15" ht="15.75" thickBot="1" x14ac:dyDescent="0.3">
      <c r="A33" s="1"/>
      <c r="B33" s="60" t="s">
        <v>43</v>
      </c>
      <c r="C33" s="22">
        <f t="shared" si="20"/>
        <v>1</v>
      </c>
      <c r="D33" s="23">
        <f t="shared" si="20"/>
        <v>1</v>
      </c>
      <c r="E33" s="23">
        <f t="shared" si="20"/>
        <v>1</v>
      </c>
      <c r="F33" s="23">
        <f t="shared" si="20"/>
        <v>0</v>
      </c>
      <c r="G33" s="23">
        <f t="shared" si="20"/>
        <v>0</v>
      </c>
      <c r="H33" s="23">
        <f t="shared" si="20"/>
        <v>0</v>
      </c>
      <c r="I33" s="23">
        <f t="shared" si="20"/>
        <v>0</v>
      </c>
      <c r="J33" s="23">
        <f t="shared" si="20"/>
        <v>0</v>
      </c>
      <c r="K33" s="23">
        <f t="shared" si="20"/>
        <v>0</v>
      </c>
      <c r="L33" s="23">
        <f t="shared" si="20"/>
        <v>0</v>
      </c>
      <c r="M33" s="23">
        <f t="shared" si="20"/>
        <v>0</v>
      </c>
      <c r="N33" s="117">
        <f t="shared" si="20"/>
        <v>0</v>
      </c>
      <c r="O33" s="111">
        <f t="shared" si="2"/>
        <v>3</v>
      </c>
    </row>
    <row r="34" spans="1:15" ht="15.75" thickBot="1" x14ac:dyDescent="0.3">
      <c r="A34" s="1"/>
      <c r="B34" s="60" t="s">
        <v>44</v>
      </c>
      <c r="C34" s="22">
        <f t="shared" si="20"/>
        <v>2</v>
      </c>
      <c r="D34" s="23">
        <f t="shared" si="20"/>
        <v>0</v>
      </c>
      <c r="E34" s="23">
        <f t="shared" si="20"/>
        <v>0</v>
      </c>
      <c r="F34" s="23">
        <f t="shared" si="20"/>
        <v>0</v>
      </c>
      <c r="G34" s="23">
        <f t="shared" si="20"/>
        <v>3</v>
      </c>
      <c r="H34" s="23">
        <f t="shared" si="20"/>
        <v>4</v>
      </c>
      <c r="I34" s="23">
        <f t="shared" si="20"/>
        <v>2</v>
      </c>
      <c r="J34" s="23">
        <f t="shared" si="20"/>
        <v>0</v>
      </c>
      <c r="K34" s="23">
        <f t="shared" si="20"/>
        <v>1</v>
      </c>
      <c r="L34" s="23">
        <f t="shared" si="20"/>
        <v>0</v>
      </c>
      <c r="M34" s="23">
        <f t="shared" si="20"/>
        <v>5</v>
      </c>
      <c r="N34" s="117">
        <f t="shared" si="20"/>
        <v>3</v>
      </c>
      <c r="O34" s="111">
        <f t="shared" si="2"/>
        <v>20</v>
      </c>
    </row>
    <row r="35" spans="1:15" ht="15.75" thickBot="1" x14ac:dyDescent="0.3">
      <c r="A35" s="1"/>
      <c r="B35" s="60" t="s">
        <v>45</v>
      </c>
      <c r="C35" s="74">
        <f t="shared" si="20"/>
        <v>0</v>
      </c>
      <c r="D35" s="54">
        <f t="shared" si="20"/>
        <v>0</v>
      </c>
      <c r="E35" s="54">
        <f t="shared" si="20"/>
        <v>0</v>
      </c>
      <c r="F35" s="54">
        <f t="shared" si="20"/>
        <v>0</v>
      </c>
      <c r="G35" s="54">
        <f t="shared" si="20"/>
        <v>1</v>
      </c>
      <c r="H35" s="54">
        <f t="shared" si="20"/>
        <v>0</v>
      </c>
      <c r="I35" s="54">
        <f t="shared" si="20"/>
        <v>0</v>
      </c>
      <c r="J35" s="54">
        <f t="shared" si="20"/>
        <v>0</v>
      </c>
      <c r="K35" s="54">
        <f t="shared" si="20"/>
        <v>1</v>
      </c>
      <c r="L35" s="54">
        <f t="shared" si="20"/>
        <v>0</v>
      </c>
      <c r="M35" s="54">
        <f t="shared" si="20"/>
        <v>2</v>
      </c>
      <c r="N35" s="118">
        <f t="shared" si="20"/>
        <v>0</v>
      </c>
      <c r="O35" s="119">
        <f t="shared" si="2"/>
        <v>4</v>
      </c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6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4" t="s">
        <v>47</v>
      </c>
      <c r="M37" s="1"/>
      <c r="N37" s="1"/>
      <c r="O37" s="1"/>
    </row>
    <row r="38" spans="1:15" x14ac:dyDescent="0.25">
      <c r="A38" s="1"/>
      <c r="B38" s="6" t="s">
        <v>48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thickBo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6.5" thickBot="1" x14ac:dyDescent="0.3">
      <c r="A41" s="1"/>
      <c r="B41" s="1"/>
      <c r="C41" s="199" t="s">
        <v>49</v>
      </c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199">
        <f>+[2]INICIO!M4</f>
        <v>2016</v>
      </c>
      <c r="O41" s="201"/>
    </row>
    <row r="42" spans="1:15" ht="15.75" thickBot="1" x14ac:dyDescent="0.3">
      <c r="A42" s="1"/>
      <c r="B42" s="7"/>
      <c r="C42" s="39">
        <v>31</v>
      </c>
      <c r="D42" s="39">
        <v>29</v>
      </c>
      <c r="E42" s="39">
        <v>31</v>
      </c>
      <c r="F42" s="39">
        <v>30</v>
      </c>
      <c r="G42" s="39">
        <v>31</v>
      </c>
      <c r="H42" s="39">
        <v>30</v>
      </c>
      <c r="I42" s="39">
        <v>31</v>
      </c>
      <c r="J42" s="39">
        <v>31</v>
      </c>
      <c r="K42" s="39">
        <v>30</v>
      </c>
      <c r="L42" s="39">
        <v>31</v>
      </c>
      <c r="M42" s="39">
        <v>30</v>
      </c>
      <c r="N42" s="39">
        <v>31</v>
      </c>
      <c r="O42" s="86">
        <v>40</v>
      </c>
    </row>
    <row r="43" spans="1:15" ht="15.75" thickBot="1" x14ac:dyDescent="0.3">
      <c r="A43" s="1"/>
      <c r="B43" s="10" t="s">
        <v>50</v>
      </c>
      <c r="C43" s="11" t="s">
        <v>1</v>
      </c>
      <c r="D43" s="12" t="s">
        <v>2</v>
      </c>
      <c r="E43" s="12" t="s">
        <v>3</v>
      </c>
      <c r="F43" s="12" t="s">
        <v>4</v>
      </c>
      <c r="G43" s="12" t="s">
        <v>5</v>
      </c>
      <c r="H43" s="12" t="s">
        <v>6</v>
      </c>
      <c r="I43" s="12" t="s">
        <v>7</v>
      </c>
      <c r="J43" s="12" t="s">
        <v>8</v>
      </c>
      <c r="K43" s="13" t="s">
        <v>9</v>
      </c>
      <c r="L43" s="13" t="s">
        <v>10</v>
      </c>
      <c r="M43" s="13" t="s">
        <v>11</v>
      </c>
      <c r="N43" s="26" t="s">
        <v>12</v>
      </c>
      <c r="O43" s="27" t="s">
        <v>13</v>
      </c>
    </row>
    <row r="44" spans="1:15" ht="15.75" thickBot="1" x14ac:dyDescent="0.3">
      <c r="A44" s="1"/>
      <c r="B44" s="8" t="s">
        <v>14</v>
      </c>
      <c r="C44" s="44">
        <v>32</v>
      </c>
      <c r="D44" s="44">
        <v>34</v>
      </c>
      <c r="E44" s="44">
        <v>32</v>
      </c>
      <c r="F44" s="44">
        <v>35</v>
      </c>
      <c r="G44" s="44">
        <v>35</v>
      </c>
      <c r="H44" s="44">
        <v>32</v>
      </c>
      <c r="I44" s="44">
        <v>32</v>
      </c>
      <c r="J44" s="44">
        <v>35</v>
      </c>
      <c r="K44" s="44">
        <v>35</v>
      </c>
      <c r="L44" s="44">
        <v>35</v>
      </c>
      <c r="M44" s="44">
        <v>36</v>
      </c>
      <c r="N44" s="48">
        <v>34</v>
      </c>
      <c r="O44" s="88">
        <f>+AVERAGE(C44:N44)</f>
        <v>33.916666666666664</v>
      </c>
    </row>
    <row r="45" spans="1:15" ht="15.75" thickBot="1" x14ac:dyDescent="0.3">
      <c r="A45" s="1"/>
      <c r="B45" s="8" t="s">
        <v>15</v>
      </c>
      <c r="C45" s="32">
        <v>96</v>
      </c>
      <c r="D45" s="21">
        <v>86</v>
      </c>
      <c r="E45" s="21">
        <v>95</v>
      </c>
      <c r="F45" s="3">
        <v>71</v>
      </c>
      <c r="G45" s="3">
        <v>100</v>
      </c>
      <c r="H45" s="3">
        <v>78</v>
      </c>
      <c r="I45" s="3">
        <v>89</v>
      </c>
      <c r="J45" s="3">
        <v>86</v>
      </c>
      <c r="K45" s="3">
        <v>97</v>
      </c>
      <c r="L45" s="3">
        <v>110</v>
      </c>
      <c r="M45" s="3">
        <v>99</v>
      </c>
      <c r="N45" s="33">
        <v>108</v>
      </c>
      <c r="O45" s="18">
        <f t="shared" ref="O45:O60" si="21">+SUM(C45:N45)</f>
        <v>1115</v>
      </c>
    </row>
    <row r="46" spans="1:15" ht="15.75" thickBot="1" x14ac:dyDescent="0.3">
      <c r="A46" s="1"/>
      <c r="B46" s="8" t="s">
        <v>16</v>
      </c>
      <c r="C46" s="32">
        <v>94</v>
      </c>
      <c r="D46" s="21">
        <v>95</v>
      </c>
      <c r="E46" s="21">
        <v>79</v>
      </c>
      <c r="F46" s="3">
        <v>80</v>
      </c>
      <c r="G46" s="3">
        <v>97</v>
      </c>
      <c r="H46" s="3">
        <v>88</v>
      </c>
      <c r="I46" s="3">
        <v>83</v>
      </c>
      <c r="J46" s="3">
        <v>88</v>
      </c>
      <c r="K46" s="3">
        <v>98</v>
      </c>
      <c r="L46" s="3">
        <v>107</v>
      </c>
      <c r="M46" s="3">
        <v>104</v>
      </c>
      <c r="N46" s="33">
        <v>108</v>
      </c>
      <c r="O46" s="18">
        <f t="shared" si="21"/>
        <v>1121</v>
      </c>
    </row>
    <row r="47" spans="1:15" ht="15.75" thickBot="1" x14ac:dyDescent="0.3">
      <c r="A47" s="1"/>
      <c r="B47" s="8" t="s">
        <v>17</v>
      </c>
      <c r="C47" s="41">
        <f>+C42*C44</f>
        <v>992</v>
      </c>
      <c r="D47" s="41">
        <f t="shared" ref="D47:L47" si="22">+D42*D44</f>
        <v>986</v>
      </c>
      <c r="E47" s="41">
        <f t="shared" si="22"/>
        <v>992</v>
      </c>
      <c r="F47" s="41">
        <f t="shared" si="22"/>
        <v>1050</v>
      </c>
      <c r="G47" s="41">
        <f t="shared" si="22"/>
        <v>1085</v>
      </c>
      <c r="H47" s="41">
        <f t="shared" si="22"/>
        <v>960</v>
      </c>
      <c r="I47" s="41">
        <f t="shared" si="22"/>
        <v>992</v>
      </c>
      <c r="J47" s="41">
        <f t="shared" si="22"/>
        <v>1085</v>
      </c>
      <c r="K47" s="41">
        <f t="shared" si="22"/>
        <v>1050</v>
      </c>
      <c r="L47" s="41">
        <f t="shared" si="22"/>
        <v>1085</v>
      </c>
      <c r="M47" s="41">
        <f>+M42*M44</f>
        <v>1080</v>
      </c>
      <c r="N47" s="45">
        <f>+N42*N44</f>
        <v>1054</v>
      </c>
      <c r="O47" s="18">
        <f t="shared" si="21"/>
        <v>12411</v>
      </c>
    </row>
    <row r="48" spans="1:15" ht="15.75" thickBot="1" x14ac:dyDescent="0.3">
      <c r="A48" s="1"/>
      <c r="B48" s="8" t="s">
        <v>18</v>
      </c>
      <c r="C48" s="32">
        <v>500</v>
      </c>
      <c r="D48" s="21">
        <v>326</v>
      </c>
      <c r="E48" s="21">
        <v>315</v>
      </c>
      <c r="F48" s="3">
        <v>253</v>
      </c>
      <c r="G48" s="3">
        <v>401</v>
      </c>
      <c r="H48" s="3">
        <v>355</v>
      </c>
      <c r="I48" s="3">
        <v>416</v>
      </c>
      <c r="J48" s="3">
        <v>485</v>
      </c>
      <c r="K48" s="3">
        <v>472</v>
      </c>
      <c r="L48" s="3">
        <v>521</v>
      </c>
      <c r="M48" s="3">
        <v>417</v>
      </c>
      <c r="N48" s="33">
        <v>306</v>
      </c>
      <c r="O48" s="18">
        <f t="shared" si="21"/>
        <v>4767</v>
      </c>
    </row>
    <row r="49" spans="1:15" ht="15.75" thickBot="1" x14ac:dyDescent="0.3">
      <c r="A49" s="1"/>
      <c r="B49" s="8" t="s">
        <v>19</v>
      </c>
      <c r="C49" s="32">
        <v>712</v>
      </c>
      <c r="D49" s="21">
        <v>674</v>
      </c>
      <c r="E49" s="21">
        <v>403</v>
      </c>
      <c r="F49" s="3">
        <v>721</v>
      </c>
      <c r="G49" s="3">
        <v>608</v>
      </c>
      <c r="H49" s="3">
        <v>495</v>
      </c>
      <c r="I49" s="3">
        <v>519</v>
      </c>
      <c r="J49" s="3">
        <v>739</v>
      </c>
      <c r="K49" s="3">
        <v>570</v>
      </c>
      <c r="L49" s="3">
        <v>698</v>
      </c>
      <c r="M49" s="3">
        <v>714</v>
      </c>
      <c r="N49" s="33">
        <v>502</v>
      </c>
      <c r="O49" s="18">
        <f t="shared" si="21"/>
        <v>7355</v>
      </c>
    </row>
    <row r="50" spans="1:15" ht="15.75" thickBot="1" x14ac:dyDescent="0.3">
      <c r="A50" s="1"/>
      <c r="B50" s="9" t="s">
        <v>51</v>
      </c>
      <c r="C50" s="75">
        <v>696</v>
      </c>
      <c r="D50" s="76">
        <v>499</v>
      </c>
      <c r="E50" s="76">
        <v>600</v>
      </c>
      <c r="F50" s="77">
        <v>630</v>
      </c>
      <c r="G50" s="76">
        <v>559</v>
      </c>
      <c r="H50" s="76">
        <v>445</v>
      </c>
      <c r="I50" s="76">
        <v>670</v>
      </c>
      <c r="J50" s="76">
        <v>637</v>
      </c>
      <c r="K50" s="76">
        <v>676</v>
      </c>
      <c r="L50" s="76">
        <v>701</v>
      </c>
      <c r="M50" s="76">
        <v>630</v>
      </c>
      <c r="N50" s="78">
        <v>475</v>
      </c>
      <c r="O50" s="18">
        <f t="shared" si="21"/>
        <v>7218</v>
      </c>
    </row>
    <row r="51" spans="1:15" ht="15.75" thickBot="1" x14ac:dyDescent="0.3">
      <c r="A51" s="1"/>
      <c r="B51" s="38" t="s">
        <v>21</v>
      </c>
      <c r="C51" s="70">
        <f t="shared" ref="C51:O51" si="23">+IF(C46&gt;0,C48/C46,"")</f>
        <v>5.3191489361702127</v>
      </c>
      <c r="D51" s="71">
        <f t="shared" si="23"/>
        <v>3.4315789473684211</v>
      </c>
      <c r="E51" s="71">
        <f t="shared" si="23"/>
        <v>3.9873417721518987</v>
      </c>
      <c r="F51" s="71">
        <f t="shared" si="23"/>
        <v>3.1625000000000001</v>
      </c>
      <c r="G51" s="71">
        <f t="shared" si="23"/>
        <v>4.1340206185567014</v>
      </c>
      <c r="H51" s="71">
        <f t="shared" si="23"/>
        <v>4.0340909090909092</v>
      </c>
      <c r="I51" s="71">
        <f t="shared" si="23"/>
        <v>5.0120481927710845</v>
      </c>
      <c r="J51" s="71">
        <f t="shared" si="23"/>
        <v>5.5113636363636367</v>
      </c>
      <c r="K51" s="71">
        <f t="shared" si="23"/>
        <v>4.8163265306122449</v>
      </c>
      <c r="L51" s="71">
        <f t="shared" si="23"/>
        <v>4.8691588785046731</v>
      </c>
      <c r="M51" s="71">
        <f t="shared" si="23"/>
        <v>4.009615384615385</v>
      </c>
      <c r="N51" s="68">
        <f t="shared" si="23"/>
        <v>2.8333333333333335</v>
      </c>
      <c r="O51" s="47">
        <f t="shared" si="23"/>
        <v>4.2524531668153438</v>
      </c>
    </row>
    <row r="52" spans="1:15" ht="15.75" thickBot="1" x14ac:dyDescent="0.3">
      <c r="A52" s="1"/>
      <c r="B52" s="38" t="s">
        <v>23</v>
      </c>
      <c r="C52" s="42">
        <f t="shared" ref="C52:N52" si="24">+IF(C46&gt;0,C46/C44,"")</f>
        <v>2.9375</v>
      </c>
      <c r="D52" s="42">
        <f t="shared" si="24"/>
        <v>2.7941176470588234</v>
      </c>
      <c r="E52" s="42">
        <f t="shared" si="24"/>
        <v>2.46875</v>
      </c>
      <c r="F52" s="42">
        <f t="shared" si="24"/>
        <v>2.2857142857142856</v>
      </c>
      <c r="G52" s="42">
        <f t="shared" si="24"/>
        <v>2.7714285714285714</v>
      </c>
      <c r="H52" s="42">
        <f t="shared" si="24"/>
        <v>2.75</v>
      </c>
      <c r="I52" s="42">
        <f t="shared" si="24"/>
        <v>2.59375</v>
      </c>
      <c r="J52" s="42">
        <f t="shared" si="24"/>
        <v>2.5142857142857142</v>
      </c>
      <c r="K52" s="42">
        <f t="shared" si="24"/>
        <v>2.8</v>
      </c>
      <c r="L52" s="42">
        <f t="shared" si="24"/>
        <v>3.0571428571428569</v>
      </c>
      <c r="M52" s="42">
        <f t="shared" si="24"/>
        <v>2.8888888888888888</v>
      </c>
      <c r="N52" s="46">
        <f t="shared" si="24"/>
        <v>3.1764705882352939</v>
      </c>
      <c r="O52" s="87">
        <f>+IF(O46&gt;0,AVERAGE(C46:N46)/O44,"")</f>
        <v>2.7542997542997547</v>
      </c>
    </row>
    <row r="53" spans="1:15" ht="15.75" thickBot="1" x14ac:dyDescent="0.3">
      <c r="A53" s="1"/>
      <c r="B53" s="38" t="s">
        <v>24</v>
      </c>
      <c r="C53" s="42">
        <f t="shared" ref="C53:O53" si="25">+IF(C46&gt;0,(C47-C50)/C46,"")</f>
        <v>3.1489361702127661</v>
      </c>
      <c r="D53" s="42">
        <f t="shared" si="25"/>
        <v>5.1263157894736846</v>
      </c>
      <c r="E53" s="42">
        <f t="shared" si="25"/>
        <v>4.962025316455696</v>
      </c>
      <c r="F53" s="42">
        <f t="shared" si="25"/>
        <v>5.25</v>
      </c>
      <c r="G53" s="42">
        <f t="shared" si="25"/>
        <v>5.4226804123711343</v>
      </c>
      <c r="H53" s="42">
        <f t="shared" si="25"/>
        <v>5.8522727272727275</v>
      </c>
      <c r="I53" s="42">
        <f t="shared" si="25"/>
        <v>3.8795180722891565</v>
      </c>
      <c r="J53" s="42">
        <f t="shared" si="25"/>
        <v>5.0909090909090908</v>
      </c>
      <c r="K53" s="42">
        <f t="shared" si="25"/>
        <v>3.8163265306122449</v>
      </c>
      <c r="L53" s="42">
        <f t="shared" si="25"/>
        <v>3.5887850467289719</v>
      </c>
      <c r="M53" s="42">
        <f t="shared" si="25"/>
        <v>4.3269230769230766</v>
      </c>
      <c r="N53" s="46">
        <f t="shared" si="25"/>
        <v>5.3611111111111107</v>
      </c>
      <c r="O53" s="47">
        <f t="shared" si="25"/>
        <v>4.6324710080285456</v>
      </c>
    </row>
    <row r="54" spans="1:15" ht="15.75" thickBot="1" x14ac:dyDescent="0.3">
      <c r="A54" s="1"/>
      <c r="B54" s="38" t="s">
        <v>25</v>
      </c>
      <c r="C54" s="42">
        <f>+IF(C50&gt;0,(C50/C47)*100,"")</f>
        <v>70.161290322580655</v>
      </c>
      <c r="D54" s="42">
        <f t="shared" ref="D54:O54" si="26">+IF(D50&gt;0,(D50/D47)*100,"")</f>
        <v>50.608519269776878</v>
      </c>
      <c r="E54" s="42">
        <f t="shared" si="26"/>
        <v>60.483870967741936</v>
      </c>
      <c r="F54" s="42">
        <f t="shared" si="26"/>
        <v>60</v>
      </c>
      <c r="G54" s="42">
        <f t="shared" si="26"/>
        <v>51.52073732718894</v>
      </c>
      <c r="H54" s="42">
        <f t="shared" si="26"/>
        <v>46.354166666666671</v>
      </c>
      <c r="I54" s="42">
        <f t="shared" si="26"/>
        <v>67.540322580645167</v>
      </c>
      <c r="J54" s="42">
        <f t="shared" si="26"/>
        <v>58.709677419354833</v>
      </c>
      <c r="K54" s="42">
        <f t="shared" si="26"/>
        <v>64.38095238095238</v>
      </c>
      <c r="L54" s="42">
        <f t="shared" si="26"/>
        <v>64.608294930875573</v>
      </c>
      <c r="M54" s="42">
        <f t="shared" si="26"/>
        <v>58.333333333333336</v>
      </c>
      <c r="N54" s="46">
        <f t="shared" si="26"/>
        <v>45.066413662239093</v>
      </c>
      <c r="O54" s="47">
        <f t="shared" si="26"/>
        <v>58.158085569253082</v>
      </c>
    </row>
    <row r="55" spans="1:15" ht="15.75" thickBot="1" x14ac:dyDescent="0.3">
      <c r="A55" s="1"/>
      <c r="B55" s="8" t="s">
        <v>26</v>
      </c>
      <c r="C55" s="41">
        <f>+SUM(C56:C57)</f>
        <v>6</v>
      </c>
      <c r="D55" s="41">
        <f t="shared" ref="D55:N55" si="27">+SUM(D56:D57)</f>
        <v>3</v>
      </c>
      <c r="E55" s="41">
        <f t="shared" si="27"/>
        <v>10</v>
      </c>
      <c r="F55" s="41">
        <f t="shared" si="27"/>
        <v>14</v>
      </c>
      <c r="G55" s="41">
        <f t="shared" si="27"/>
        <v>10</v>
      </c>
      <c r="H55" s="41">
        <f t="shared" si="27"/>
        <v>1</v>
      </c>
      <c r="I55" s="41">
        <f t="shared" si="27"/>
        <v>3</v>
      </c>
      <c r="J55" s="41">
        <f t="shared" si="27"/>
        <v>9</v>
      </c>
      <c r="K55" s="41">
        <f t="shared" si="27"/>
        <v>6</v>
      </c>
      <c r="L55" s="41">
        <f t="shared" si="27"/>
        <v>9</v>
      </c>
      <c r="M55" s="41">
        <f t="shared" si="27"/>
        <v>11</v>
      </c>
      <c r="N55" s="45">
        <f t="shared" si="27"/>
        <v>6</v>
      </c>
      <c r="O55" s="18">
        <f t="shared" si="21"/>
        <v>88</v>
      </c>
    </row>
    <row r="56" spans="1:15" ht="15.75" thickBot="1" x14ac:dyDescent="0.3">
      <c r="A56" s="1"/>
      <c r="B56" s="8" t="s">
        <v>52</v>
      </c>
      <c r="C56" s="32">
        <v>5</v>
      </c>
      <c r="D56" s="21">
        <v>1</v>
      </c>
      <c r="E56" s="21">
        <v>10</v>
      </c>
      <c r="F56" s="3">
        <v>5</v>
      </c>
      <c r="G56" s="3">
        <v>7</v>
      </c>
      <c r="H56" s="3">
        <v>1</v>
      </c>
      <c r="I56" s="3">
        <v>2</v>
      </c>
      <c r="J56" s="3">
        <v>7</v>
      </c>
      <c r="K56" s="3">
        <v>6</v>
      </c>
      <c r="L56" s="3">
        <v>9</v>
      </c>
      <c r="M56" s="3">
        <v>4</v>
      </c>
      <c r="N56" s="33">
        <v>4</v>
      </c>
      <c r="O56" s="18">
        <f t="shared" si="21"/>
        <v>61</v>
      </c>
    </row>
    <row r="57" spans="1:15" ht="15.75" thickBot="1" x14ac:dyDescent="0.3">
      <c r="A57" s="1"/>
      <c r="B57" s="8" t="s">
        <v>53</v>
      </c>
      <c r="C57" s="32">
        <v>1</v>
      </c>
      <c r="D57" s="21">
        <v>2</v>
      </c>
      <c r="E57" s="21">
        <v>0</v>
      </c>
      <c r="F57" s="3">
        <v>9</v>
      </c>
      <c r="G57" s="3">
        <v>3</v>
      </c>
      <c r="H57" s="3">
        <v>0</v>
      </c>
      <c r="I57" s="3">
        <v>1</v>
      </c>
      <c r="J57" s="3">
        <v>2</v>
      </c>
      <c r="K57" s="3">
        <v>0</v>
      </c>
      <c r="L57" s="3">
        <v>0</v>
      </c>
      <c r="M57" s="3">
        <v>7</v>
      </c>
      <c r="N57" s="33">
        <v>2</v>
      </c>
      <c r="O57" s="18">
        <f t="shared" si="21"/>
        <v>27</v>
      </c>
    </row>
    <row r="58" spans="1:15" ht="15.75" thickBot="1" x14ac:dyDescent="0.3">
      <c r="A58" s="1"/>
      <c r="B58" s="38" t="s">
        <v>29</v>
      </c>
      <c r="C58" s="67">
        <f t="shared" ref="C58:O58" si="28">+IF(C46&gt;0,(C55/C46)*100,"")</f>
        <v>6.3829787234042552</v>
      </c>
      <c r="D58" s="67">
        <f t="shared" si="28"/>
        <v>3.1578947368421053</v>
      </c>
      <c r="E58" s="67">
        <f t="shared" si="28"/>
        <v>12.658227848101266</v>
      </c>
      <c r="F58" s="67">
        <f t="shared" si="28"/>
        <v>17.5</v>
      </c>
      <c r="G58" s="67">
        <f t="shared" si="28"/>
        <v>10.309278350515463</v>
      </c>
      <c r="H58" s="67">
        <f t="shared" si="28"/>
        <v>1.1363636363636365</v>
      </c>
      <c r="I58" s="67">
        <f t="shared" si="28"/>
        <v>3.6144578313253009</v>
      </c>
      <c r="J58" s="67">
        <f t="shared" si="28"/>
        <v>10.227272727272728</v>
      </c>
      <c r="K58" s="67">
        <f t="shared" si="28"/>
        <v>6.1224489795918364</v>
      </c>
      <c r="L58" s="67">
        <f t="shared" si="28"/>
        <v>8.4112149532710276</v>
      </c>
      <c r="M58" s="67">
        <f t="shared" si="28"/>
        <v>10.576923076923077</v>
      </c>
      <c r="N58" s="68">
        <f t="shared" si="28"/>
        <v>5.5555555555555554</v>
      </c>
      <c r="O58" s="69">
        <f t="shared" si="28"/>
        <v>7.8501338090990194</v>
      </c>
    </row>
    <row r="59" spans="1:15" ht="15.75" thickBot="1" x14ac:dyDescent="0.3">
      <c r="A59" s="1"/>
      <c r="B59" s="38" t="s">
        <v>30</v>
      </c>
      <c r="C59" s="67">
        <f t="shared" ref="C59:O59" si="29">+IF(C46&gt;0,(C56/C46)*100,"")</f>
        <v>5.3191489361702127</v>
      </c>
      <c r="D59" s="67">
        <f t="shared" si="29"/>
        <v>1.0526315789473684</v>
      </c>
      <c r="E59" s="67">
        <f t="shared" si="29"/>
        <v>12.658227848101266</v>
      </c>
      <c r="F59" s="67">
        <f t="shared" si="29"/>
        <v>6.25</v>
      </c>
      <c r="G59" s="67">
        <f t="shared" si="29"/>
        <v>7.216494845360824</v>
      </c>
      <c r="H59" s="67">
        <f t="shared" si="29"/>
        <v>1.1363636363636365</v>
      </c>
      <c r="I59" s="67">
        <f t="shared" si="29"/>
        <v>2.4096385542168677</v>
      </c>
      <c r="J59" s="67">
        <f t="shared" si="29"/>
        <v>7.9545454545454541</v>
      </c>
      <c r="K59" s="67">
        <f t="shared" si="29"/>
        <v>6.1224489795918364</v>
      </c>
      <c r="L59" s="67">
        <f t="shared" si="29"/>
        <v>8.4112149532710276</v>
      </c>
      <c r="M59" s="67">
        <f t="shared" si="29"/>
        <v>3.8461538461538463</v>
      </c>
      <c r="N59" s="68">
        <f t="shared" si="29"/>
        <v>3.7037037037037033</v>
      </c>
      <c r="O59" s="69">
        <f t="shared" si="29"/>
        <v>5.4415700267618199</v>
      </c>
    </row>
    <row r="60" spans="1:15" ht="15.75" thickBot="1" x14ac:dyDescent="0.3">
      <c r="A60" s="1"/>
      <c r="B60" s="15" t="s">
        <v>31</v>
      </c>
      <c r="C60" s="25">
        <v>0</v>
      </c>
      <c r="D60" s="25">
        <v>0</v>
      </c>
      <c r="E60" s="25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5">
        <v>0</v>
      </c>
      <c r="O60" s="28">
        <f t="shared" si="21"/>
        <v>0</v>
      </c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6.5" thickBot="1" x14ac:dyDescent="0.3">
      <c r="A63" s="1"/>
      <c r="B63" s="1"/>
      <c r="C63" s="199" t="s">
        <v>49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199">
        <f>+[2]INICIO!M4</f>
        <v>2016</v>
      </c>
      <c r="O63" s="201"/>
    </row>
    <row r="64" spans="1:15" ht="15.75" thickBot="1" x14ac:dyDescent="0.3">
      <c r="A64" s="1"/>
      <c r="B64" s="7"/>
      <c r="C64" s="39">
        <v>31</v>
      </c>
      <c r="D64" s="39">
        <v>29</v>
      </c>
      <c r="E64" s="39">
        <v>31</v>
      </c>
      <c r="F64" s="39">
        <v>30</v>
      </c>
      <c r="G64" s="39">
        <v>31</v>
      </c>
      <c r="H64" s="39">
        <v>30</v>
      </c>
      <c r="I64" s="39">
        <v>31</v>
      </c>
      <c r="J64" s="39">
        <v>31</v>
      </c>
      <c r="K64" s="39">
        <v>30</v>
      </c>
      <c r="L64" s="39">
        <v>31</v>
      </c>
      <c r="M64" s="39">
        <v>30</v>
      </c>
      <c r="N64" s="39">
        <v>31</v>
      </c>
      <c r="O64" s="86">
        <v>40</v>
      </c>
    </row>
    <row r="65" spans="1:15" ht="15.75" thickBot="1" x14ac:dyDescent="0.3">
      <c r="A65" s="1"/>
      <c r="B65" s="10" t="s">
        <v>54</v>
      </c>
      <c r="C65" s="11" t="s">
        <v>1</v>
      </c>
      <c r="D65" s="12" t="s">
        <v>2</v>
      </c>
      <c r="E65" s="12" t="s">
        <v>3</v>
      </c>
      <c r="F65" s="12" t="s">
        <v>4</v>
      </c>
      <c r="G65" s="12" t="s">
        <v>5</v>
      </c>
      <c r="H65" s="12" t="s">
        <v>6</v>
      </c>
      <c r="I65" s="12" t="s">
        <v>7</v>
      </c>
      <c r="J65" s="12" t="s">
        <v>8</v>
      </c>
      <c r="K65" s="13" t="s">
        <v>9</v>
      </c>
      <c r="L65" s="13" t="s">
        <v>10</v>
      </c>
      <c r="M65" s="13" t="s">
        <v>11</v>
      </c>
      <c r="N65" s="13" t="s">
        <v>12</v>
      </c>
      <c r="O65" s="14" t="s">
        <v>13</v>
      </c>
    </row>
    <row r="66" spans="1:15" ht="15.75" thickBot="1" x14ac:dyDescent="0.3">
      <c r="A66" s="1"/>
      <c r="B66" s="8" t="s">
        <v>14</v>
      </c>
      <c r="C66" s="44">
        <v>40</v>
      </c>
      <c r="D66" s="44">
        <v>40</v>
      </c>
      <c r="E66" s="44">
        <v>40</v>
      </c>
      <c r="F66" s="44">
        <v>40</v>
      </c>
      <c r="G66" s="44">
        <v>40</v>
      </c>
      <c r="H66" s="44">
        <v>40</v>
      </c>
      <c r="I66" s="44">
        <v>40</v>
      </c>
      <c r="J66" s="44">
        <v>40</v>
      </c>
      <c r="K66" s="44">
        <v>40</v>
      </c>
      <c r="L66" s="44">
        <v>40</v>
      </c>
      <c r="M66" s="44">
        <v>40</v>
      </c>
      <c r="N66" s="44">
        <v>40</v>
      </c>
      <c r="O66" s="36">
        <f>+AVERAGE(C66:N66)</f>
        <v>40</v>
      </c>
    </row>
    <row r="67" spans="1:15" ht="15.75" thickBot="1" x14ac:dyDescent="0.3">
      <c r="A67" s="1"/>
      <c r="B67" s="8" t="s">
        <v>15</v>
      </c>
      <c r="C67" s="32">
        <v>161</v>
      </c>
      <c r="D67" s="21">
        <v>151</v>
      </c>
      <c r="E67" s="21">
        <v>152</v>
      </c>
      <c r="F67" s="3">
        <v>137</v>
      </c>
      <c r="G67" s="3">
        <v>143</v>
      </c>
      <c r="H67" s="3">
        <v>117</v>
      </c>
      <c r="I67" s="3">
        <v>125</v>
      </c>
      <c r="J67" s="3">
        <v>158</v>
      </c>
      <c r="K67" s="3">
        <v>143</v>
      </c>
      <c r="L67" s="3">
        <v>174</v>
      </c>
      <c r="M67" s="3">
        <v>126</v>
      </c>
      <c r="N67" s="33">
        <v>143</v>
      </c>
      <c r="O67" s="18">
        <f t="shared" ref="O67:O72" si="30">+SUM(C67:N67)</f>
        <v>1730</v>
      </c>
    </row>
    <row r="68" spans="1:15" ht="15.75" thickBot="1" x14ac:dyDescent="0.3">
      <c r="A68" s="1"/>
      <c r="B68" s="8" t="s">
        <v>16</v>
      </c>
      <c r="C68" s="32">
        <v>151</v>
      </c>
      <c r="D68" s="21">
        <v>149</v>
      </c>
      <c r="E68" s="21">
        <v>150</v>
      </c>
      <c r="F68" s="3">
        <v>131</v>
      </c>
      <c r="G68" s="3">
        <v>150</v>
      </c>
      <c r="H68" s="3">
        <v>113</v>
      </c>
      <c r="I68" s="3">
        <v>134</v>
      </c>
      <c r="J68" s="3">
        <v>147</v>
      </c>
      <c r="K68" s="3">
        <v>146</v>
      </c>
      <c r="L68" s="3">
        <v>176</v>
      </c>
      <c r="M68" s="3">
        <v>124</v>
      </c>
      <c r="N68" s="33">
        <v>148</v>
      </c>
      <c r="O68" s="18">
        <f t="shared" si="30"/>
        <v>1719</v>
      </c>
    </row>
    <row r="69" spans="1:15" ht="15.75" thickBot="1" x14ac:dyDescent="0.3">
      <c r="A69" s="1"/>
      <c r="B69" s="8" t="s">
        <v>17</v>
      </c>
      <c r="C69" s="41">
        <f>+C64*C66</f>
        <v>1240</v>
      </c>
      <c r="D69" s="41">
        <f t="shared" ref="D69:N69" si="31">+D64*D66</f>
        <v>1160</v>
      </c>
      <c r="E69" s="41">
        <f t="shared" si="31"/>
        <v>1240</v>
      </c>
      <c r="F69" s="41">
        <f t="shared" si="31"/>
        <v>1200</v>
      </c>
      <c r="G69" s="41">
        <f t="shared" si="31"/>
        <v>1240</v>
      </c>
      <c r="H69" s="41">
        <f t="shared" si="31"/>
        <v>1200</v>
      </c>
      <c r="I69" s="41">
        <f t="shared" si="31"/>
        <v>1240</v>
      </c>
      <c r="J69" s="41">
        <f t="shared" si="31"/>
        <v>1240</v>
      </c>
      <c r="K69" s="41">
        <f t="shared" si="31"/>
        <v>1200</v>
      </c>
      <c r="L69" s="41">
        <f t="shared" si="31"/>
        <v>1240</v>
      </c>
      <c r="M69" s="41">
        <f t="shared" si="31"/>
        <v>1200</v>
      </c>
      <c r="N69" s="41">
        <f t="shared" si="31"/>
        <v>1240</v>
      </c>
      <c r="O69" s="18">
        <f t="shared" si="30"/>
        <v>14640</v>
      </c>
    </row>
    <row r="70" spans="1:15" ht="15.75" thickBot="1" x14ac:dyDescent="0.3">
      <c r="A70" s="1"/>
      <c r="B70" s="8" t="s">
        <v>18</v>
      </c>
      <c r="C70" s="32">
        <v>593</v>
      </c>
      <c r="D70" s="21">
        <v>580</v>
      </c>
      <c r="E70" s="21">
        <v>515</v>
      </c>
      <c r="F70" s="3">
        <v>421</v>
      </c>
      <c r="G70" s="3">
        <v>709</v>
      </c>
      <c r="H70" s="3">
        <v>577</v>
      </c>
      <c r="I70" s="3">
        <v>670</v>
      </c>
      <c r="J70" s="3">
        <v>629</v>
      </c>
      <c r="K70" s="3">
        <v>676</v>
      </c>
      <c r="L70" s="3">
        <v>791</v>
      </c>
      <c r="M70" s="3">
        <v>468</v>
      </c>
      <c r="N70" s="33">
        <v>568</v>
      </c>
      <c r="O70" s="18">
        <f t="shared" si="30"/>
        <v>7197</v>
      </c>
    </row>
    <row r="71" spans="1:15" ht="15.75" thickBot="1" x14ac:dyDescent="0.3">
      <c r="A71" s="1"/>
      <c r="B71" s="8" t="s">
        <v>19</v>
      </c>
      <c r="C71" s="32">
        <v>851</v>
      </c>
      <c r="D71" s="21">
        <v>833</v>
      </c>
      <c r="E71" s="21">
        <v>766</v>
      </c>
      <c r="F71" s="3">
        <v>667</v>
      </c>
      <c r="G71" s="3">
        <v>1062</v>
      </c>
      <c r="H71" s="3">
        <v>839</v>
      </c>
      <c r="I71" s="3">
        <v>1022</v>
      </c>
      <c r="J71" s="3">
        <v>778</v>
      </c>
      <c r="K71" s="3">
        <v>847</v>
      </c>
      <c r="L71" s="3">
        <v>1153</v>
      </c>
      <c r="M71" s="3">
        <v>824</v>
      </c>
      <c r="N71" s="33">
        <v>1271</v>
      </c>
      <c r="O71" s="18">
        <f t="shared" si="30"/>
        <v>10913</v>
      </c>
    </row>
    <row r="72" spans="1:15" ht="15.75" thickBot="1" x14ac:dyDescent="0.3">
      <c r="A72" s="1"/>
      <c r="B72" s="9" t="s">
        <v>51</v>
      </c>
      <c r="C72" s="75">
        <v>1011</v>
      </c>
      <c r="D72" s="76">
        <v>886</v>
      </c>
      <c r="E72" s="76">
        <v>972</v>
      </c>
      <c r="F72" s="77">
        <v>1010</v>
      </c>
      <c r="G72" s="76">
        <v>1093</v>
      </c>
      <c r="H72" s="76">
        <v>986</v>
      </c>
      <c r="I72" s="76">
        <v>960</v>
      </c>
      <c r="J72" s="76">
        <v>982</v>
      </c>
      <c r="K72" s="76">
        <v>1116</v>
      </c>
      <c r="L72" s="76">
        <v>1099</v>
      </c>
      <c r="M72" s="76">
        <v>1001</v>
      </c>
      <c r="N72" s="78">
        <v>989</v>
      </c>
      <c r="O72" s="18">
        <f t="shared" si="30"/>
        <v>12105</v>
      </c>
    </row>
    <row r="73" spans="1:15" ht="15.75" thickBot="1" x14ac:dyDescent="0.3">
      <c r="A73" s="1"/>
      <c r="B73" s="38" t="s">
        <v>21</v>
      </c>
      <c r="C73" s="70">
        <f t="shared" ref="C73:O73" si="32">+IF(C68&gt;0,C70/C68,"")</f>
        <v>3.9271523178807946</v>
      </c>
      <c r="D73" s="71">
        <f t="shared" si="32"/>
        <v>3.8926174496644297</v>
      </c>
      <c r="E73" s="71">
        <f t="shared" si="32"/>
        <v>3.4333333333333331</v>
      </c>
      <c r="F73" s="71">
        <f t="shared" si="32"/>
        <v>3.2137404580152671</v>
      </c>
      <c r="G73" s="71">
        <f t="shared" si="32"/>
        <v>4.7266666666666666</v>
      </c>
      <c r="H73" s="71">
        <f t="shared" si="32"/>
        <v>5.1061946902654869</v>
      </c>
      <c r="I73" s="71">
        <f t="shared" si="32"/>
        <v>5</v>
      </c>
      <c r="J73" s="71">
        <f t="shared" si="32"/>
        <v>4.27891156462585</v>
      </c>
      <c r="K73" s="71">
        <f t="shared" si="32"/>
        <v>4.6301369863013697</v>
      </c>
      <c r="L73" s="71">
        <f t="shared" si="32"/>
        <v>4.4943181818181817</v>
      </c>
      <c r="M73" s="71">
        <f t="shared" si="32"/>
        <v>3.774193548387097</v>
      </c>
      <c r="N73" s="73">
        <f t="shared" si="32"/>
        <v>3.8378378378378377</v>
      </c>
      <c r="O73" s="47">
        <f t="shared" si="32"/>
        <v>4.1867364746945901</v>
      </c>
    </row>
    <row r="74" spans="1:15" ht="15.75" thickBot="1" x14ac:dyDescent="0.3">
      <c r="A74" s="1"/>
      <c r="B74" s="38" t="s">
        <v>23</v>
      </c>
      <c r="C74" s="42">
        <f t="shared" ref="C74:N74" si="33">+IF(C68&gt;0,C68/C66,"")</f>
        <v>3.7749999999999999</v>
      </c>
      <c r="D74" s="42">
        <f t="shared" si="33"/>
        <v>3.7250000000000001</v>
      </c>
      <c r="E74" s="42">
        <f t="shared" si="33"/>
        <v>3.75</v>
      </c>
      <c r="F74" s="42">
        <f t="shared" si="33"/>
        <v>3.2749999999999999</v>
      </c>
      <c r="G74" s="42">
        <f t="shared" si="33"/>
        <v>3.75</v>
      </c>
      <c r="H74" s="42">
        <f t="shared" si="33"/>
        <v>2.8250000000000002</v>
      </c>
      <c r="I74" s="42">
        <f t="shared" si="33"/>
        <v>3.35</v>
      </c>
      <c r="J74" s="42">
        <f t="shared" si="33"/>
        <v>3.6749999999999998</v>
      </c>
      <c r="K74" s="42">
        <f t="shared" si="33"/>
        <v>3.65</v>
      </c>
      <c r="L74" s="42">
        <f t="shared" si="33"/>
        <v>4.4000000000000004</v>
      </c>
      <c r="M74" s="42">
        <f t="shared" si="33"/>
        <v>3.1</v>
      </c>
      <c r="N74" s="46">
        <f t="shared" si="33"/>
        <v>3.7</v>
      </c>
      <c r="O74" s="87">
        <f>+IF(O68&gt;0,AVERAGE(C68:N68)/O66,"")</f>
        <v>3.5812499999999998</v>
      </c>
    </row>
    <row r="75" spans="1:15" ht="15.75" thickBot="1" x14ac:dyDescent="0.3">
      <c r="A75" s="1"/>
      <c r="B75" s="38" t="s">
        <v>24</v>
      </c>
      <c r="C75" s="42">
        <f t="shared" ref="C75:O75" si="34">+IF(C68&gt;0,(C69-C72)/C68,"")</f>
        <v>1.5165562913907285</v>
      </c>
      <c r="D75" s="42">
        <f t="shared" si="34"/>
        <v>1.8389261744966443</v>
      </c>
      <c r="E75" s="42">
        <f t="shared" si="34"/>
        <v>1.7866666666666666</v>
      </c>
      <c r="F75" s="42">
        <f t="shared" si="34"/>
        <v>1.4503816793893129</v>
      </c>
      <c r="G75" s="42">
        <f t="shared" si="34"/>
        <v>0.98</v>
      </c>
      <c r="H75" s="42">
        <f t="shared" si="34"/>
        <v>1.8938053097345133</v>
      </c>
      <c r="I75" s="42">
        <f t="shared" si="34"/>
        <v>2.08955223880597</v>
      </c>
      <c r="J75" s="42">
        <f t="shared" si="34"/>
        <v>1.7551020408163265</v>
      </c>
      <c r="K75" s="42">
        <f t="shared" si="34"/>
        <v>0.57534246575342463</v>
      </c>
      <c r="L75" s="42">
        <f t="shared" si="34"/>
        <v>0.80113636363636365</v>
      </c>
      <c r="M75" s="42">
        <f t="shared" si="34"/>
        <v>1.6048387096774193</v>
      </c>
      <c r="N75" s="42">
        <f t="shared" si="34"/>
        <v>1.6959459459459461</v>
      </c>
      <c r="O75" s="47">
        <f t="shared" si="34"/>
        <v>1.4746945898778359</v>
      </c>
    </row>
    <row r="76" spans="1:15" ht="15.75" thickBot="1" x14ac:dyDescent="0.3">
      <c r="A76" s="1"/>
      <c r="B76" s="38" t="s">
        <v>25</v>
      </c>
      <c r="C76" s="42">
        <f t="shared" ref="C76:O76" si="35">+IF(C72&gt;0,(C72/C69)*100,"")</f>
        <v>81.532258064516128</v>
      </c>
      <c r="D76" s="42">
        <f t="shared" si="35"/>
        <v>76.379310344827587</v>
      </c>
      <c r="E76" s="42">
        <f t="shared" si="35"/>
        <v>78.387096774193537</v>
      </c>
      <c r="F76" s="42">
        <f t="shared" si="35"/>
        <v>84.166666666666671</v>
      </c>
      <c r="G76" s="42">
        <f t="shared" si="35"/>
        <v>88.145161290322577</v>
      </c>
      <c r="H76" s="42">
        <f t="shared" si="35"/>
        <v>82.166666666666671</v>
      </c>
      <c r="I76" s="42">
        <f t="shared" si="35"/>
        <v>77.41935483870968</v>
      </c>
      <c r="J76" s="42">
        <f t="shared" si="35"/>
        <v>79.193548387096783</v>
      </c>
      <c r="K76" s="42">
        <f t="shared" si="35"/>
        <v>93</v>
      </c>
      <c r="L76" s="42">
        <f t="shared" si="35"/>
        <v>88.629032258064512</v>
      </c>
      <c r="M76" s="42">
        <f t="shared" si="35"/>
        <v>83.416666666666657</v>
      </c>
      <c r="N76" s="46">
        <f t="shared" si="35"/>
        <v>79.758064516129039</v>
      </c>
      <c r="O76" s="47">
        <f t="shared" si="35"/>
        <v>82.684426229508205</v>
      </c>
    </row>
    <row r="77" spans="1:15" ht="15.75" thickBot="1" x14ac:dyDescent="0.3">
      <c r="A77" s="1"/>
      <c r="B77" s="8" t="s">
        <v>26</v>
      </c>
      <c r="C77" s="41">
        <f>+SUM(C78:C79)</f>
        <v>0</v>
      </c>
      <c r="D77" s="41">
        <f t="shared" ref="D77:N77" si="36">+SUM(D78:D79)</f>
        <v>0</v>
      </c>
      <c r="E77" s="41">
        <f t="shared" si="36"/>
        <v>0</v>
      </c>
      <c r="F77" s="41">
        <f t="shared" si="36"/>
        <v>1</v>
      </c>
      <c r="G77" s="41">
        <f t="shared" si="36"/>
        <v>0</v>
      </c>
      <c r="H77" s="41">
        <f t="shared" si="36"/>
        <v>2</v>
      </c>
      <c r="I77" s="41">
        <f t="shared" si="36"/>
        <v>0</v>
      </c>
      <c r="J77" s="41">
        <f t="shared" si="36"/>
        <v>1</v>
      </c>
      <c r="K77" s="41">
        <f t="shared" si="36"/>
        <v>2</v>
      </c>
      <c r="L77" s="41">
        <f t="shared" si="36"/>
        <v>0</v>
      </c>
      <c r="M77" s="41">
        <f t="shared" si="36"/>
        <v>0</v>
      </c>
      <c r="N77" s="41">
        <f t="shared" si="36"/>
        <v>0</v>
      </c>
      <c r="O77" s="18">
        <f>+SUM(C77:N77)</f>
        <v>6</v>
      </c>
    </row>
    <row r="78" spans="1:15" ht="15.75" thickBot="1" x14ac:dyDescent="0.3">
      <c r="A78" s="1"/>
      <c r="B78" s="8" t="s">
        <v>52</v>
      </c>
      <c r="C78" s="32">
        <v>0</v>
      </c>
      <c r="D78" s="21">
        <v>0</v>
      </c>
      <c r="E78" s="21">
        <v>0</v>
      </c>
      <c r="F78" s="3">
        <v>1</v>
      </c>
      <c r="G78" s="3">
        <v>0</v>
      </c>
      <c r="H78" s="3">
        <v>2</v>
      </c>
      <c r="I78" s="3">
        <v>0</v>
      </c>
      <c r="J78" s="3">
        <v>0</v>
      </c>
      <c r="K78" s="3">
        <v>1</v>
      </c>
      <c r="L78" s="3">
        <v>0</v>
      </c>
      <c r="M78" s="3">
        <v>0</v>
      </c>
      <c r="N78" s="33">
        <v>0</v>
      </c>
      <c r="O78" s="18">
        <f>+SUM(C78:N78)</f>
        <v>4</v>
      </c>
    </row>
    <row r="79" spans="1:15" ht="15.75" thickBot="1" x14ac:dyDescent="0.3">
      <c r="A79" s="1"/>
      <c r="B79" s="8" t="s">
        <v>53</v>
      </c>
      <c r="C79" s="32">
        <v>0</v>
      </c>
      <c r="D79" s="21">
        <v>0</v>
      </c>
      <c r="E79" s="21">
        <v>0</v>
      </c>
      <c r="F79" s="3">
        <v>0</v>
      </c>
      <c r="G79" s="3">
        <v>0</v>
      </c>
      <c r="H79" s="3">
        <v>0</v>
      </c>
      <c r="I79" s="3">
        <v>0</v>
      </c>
      <c r="J79" s="3">
        <v>1</v>
      </c>
      <c r="K79" s="3">
        <v>1</v>
      </c>
      <c r="L79" s="3">
        <v>0</v>
      </c>
      <c r="M79" s="3">
        <v>0</v>
      </c>
      <c r="N79" s="33">
        <v>0</v>
      </c>
      <c r="O79" s="18">
        <f>+SUM(C79:N79)</f>
        <v>2</v>
      </c>
    </row>
    <row r="80" spans="1:15" ht="15.75" thickBot="1" x14ac:dyDescent="0.3">
      <c r="A80" s="1"/>
      <c r="B80" s="15" t="s">
        <v>31</v>
      </c>
      <c r="C80" s="25">
        <v>0</v>
      </c>
      <c r="D80" s="25">
        <v>0</v>
      </c>
      <c r="E80" s="25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5">
        <v>0</v>
      </c>
      <c r="O80" s="28">
        <f>+SUM(C80:N80)</f>
        <v>0</v>
      </c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6.5" thickBot="1" x14ac:dyDescent="0.3">
      <c r="A83" s="1"/>
      <c r="B83" s="1"/>
      <c r="C83" s="199" t="s">
        <v>49</v>
      </c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199">
        <f>+[2]INICIO!M4</f>
        <v>2016</v>
      </c>
      <c r="O83" s="201"/>
    </row>
    <row r="84" spans="1:15" ht="15.75" thickBot="1" x14ac:dyDescent="0.3">
      <c r="A84" s="1"/>
      <c r="B84" s="7"/>
      <c r="C84" s="39">
        <v>31</v>
      </c>
      <c r="D84" s="39">
        <v>29</v>
      </c>
      <c r="E84" s="39">
        <v>31</v>
      </c>
      <c r="F84" s="39">
        <v>30</v>
      </c>
      <c r="G84" s="39">
        <v>31</v>
      </c>
      <c r="H84" s="39">
        <v>30</v>
      </c>
      <c r="I84" s="39">
        <v>31</v>
      </c>
      <c r="J84" s="39">
        <v>31</v>
      </c>
      <c r="K84" s="39">
        <v>30</v>
      </c>
      <c r="L84" s="39">
        <v>31</v>
      </c>
      <c r="M84" s="39">
        <v>30</v>
      </c>
      <c r="N84" s="39">
        <v>31</v>
      </c>
      <c r="O84" s="86">
        <f>+O197+O217</f>
        <v>15</v>
      </c>
    </row>
    <row r="85" spans="1:15" ht="15.75" thickBot="1" x14ac:dyDescent="0.3">
      <c r="A85" s="1"/>
      <c r="B85" s="10" t="s">
        <v>66</v>
      </c>
      <c r="C85" s="96" t="s">
        <v>1</v>
      </c>
      <c r="D85" s="12" t="s">
        <v>2</v>
      </c>
      <c r="E85" s="12" t="s">
        <v>3</v>
      </c>
      <c r="F85" s="12" t="s">
        <v>4</v>
      </c>
      <c r="G85" s="12" t="s">
        <v>5</v>
      </c>
      <c r="H85" s="12" t="s">
        <v>6</v>
      </c>
      <c r="I85" s="12" t="s">
        <v>7</v>
      </c>
      <c r="J85" s="12" t="s">
        <v>8</v>
      </c>
      <c r="K85" s="13" t="s">
        <v>9</v>
      </c>
      <c r="L85" s="13" t="s">
        <v>10</v>
      </c>
      <c r="M85" s="13" t="s">
        <v>11</v>
      </c>
      <c r="N85" s="97" t="s">
        <v>12</v>
      </c>
      <c r="O85" s="93" t="s">
        <v>13</v>
      </c>
    </row>
    <row r="86" spans="1:15" ht="15.75" thickBot="1" x14ac:dyDescent="0.3">
      <c r="A86" s="1"/>
      <c r="B86" s="8" t="s">
        <v>14</v>
      </c>
      <c r="C86" s="48">
        <f t="shared" ref="C86:N86" si="37">+C199+C219</f>
        <v>15</v>
      </c>
      <c r="D86" s="95">
        <f t="shared" si="37"/>
        <v>15</v>
      </c>
      <c r="E86" s="95">
        <f t="shared" si="37"/>
        <v>15</v>
      </c>
      <c r="F86" s="95">
        <f t="shared" si="37"/>
        <v>15</v>
      </c>
      <c r="G86" s="95">
        <f t="shared" si="37"/>
        <v>15</v>
      </c>
      <c r="H86" s="95">
        <f t="shared" si="37"/>
        <v>15</v>
      </c>
      <c r="I86" s="95">
        <f t="shared" si="37"/>
        <v>15</v>
      </c>
      <c r="J86" s="95">
        <f t="shared" si="37"/>
        <v>15</v>
      </c>
      <c r="K86" s="95">
        <f t="shared" si="37"/>
        <v>15</v>
      </c>
      <c r="L86" s="95">
        <f t="shared" si="37"/>
        <v>15</v>
      </c>
      <c r="M86" s="95">
        <f t="shared" si="37"/>
        <v>15</v>
      </c>
      <c r="N86" s="94">
        <f t="shared" si="37"/>
        <v>15</v>
      </c>
      <c r="O86" s="36">
        <f>+AVERAGE(C86:N86)</f>
        <v>15</v>
      </c>
    </row>
    <row r="87" spans="1:15" ht="15.75" thickBot="1" x14ac:dyDescent="0.3">
      <c r="A87" s="1"/>
      <c r="B87" s="59" t="s">
        <v>15</v>
      </c>
      <c r="C87" s="20">
        <f t="shared" ref="C87:N87" si="38">+C200+C220</f>
        <v>33</v>
      </c>
      <c r="D87" s="32">
        <f t="shared" si="38"/>
        <v>41</v>
      </c>
      <c r="E87" s="32">
        <f t="shared" si="38"/>
        <v>35</v>
      </c>
      <c r="F87" s="32">
        <f t="shared" si="38"/>
        <v>42</v>
      </c>
      <c r="G87" s="32">
        <f t="shared" si="38"/>
        <v>34</v>
      </c>
      <c r="H87" s="32">
        <f t="shared" si="38"/>
        <v>42</v>
      </c>
      <c r="I87" s="32">
        <f t="shared" si="38"/>
        <v>33</v>
      </c>
      <c r="J87" s="32">
        <f t="shared" si="38"/>
        <v>26</v>
      </c>
      <c r="K87" s="32">
        <f t="shared" si="38"/>
        <v>31</v>
      </c>
      <c r="L87" s="32">
        <f t="shared" si="38"/>
        <v>32</v>
      </c>
      <c r="M87" s="32">
        <f t="shared" si="38"/>
        <v>38</v>
      </c>
      <c r="N87" s="89">
        <f t="shared" si="38"/>
        <v>27</v>
      </c>
      <c r="O87" s="18">
        <f t="shared" ref="O87:O92" si="39">+SUM(C87:N87)</f>
        <v>414</v>
      </c>
    </row>
    <row r="88" spans="1:15" ht="15.75" thickBot="1" x14ac:dyDescent="0.3">
      <c r="A88" s="1"/>
      <c r="B88" s="59" t="s">
        <v>16</v>
      </c>
      <c r="C88" s="20">
        <f t="shared" ref="C88:N88" si="40">+C201+C221</f>
        <v>34</v>
      </c>
      <c r="D88" s="32">
        <f t="shared" si="40"/>
        <v>34</v>
      </c>
      <c r="E88" s="32">
        <f t="shared" si="40"/>
        <v>39</v>
      </c>
      <c r="F88" s="32">
        <f t="shared" si="40"/>
        <v>43</v>
      </c>
      <c r="G88" s="32">
        <f t="shared" si="40"/>
        <v>31</v>
      </c>
      <c r="H88" s="32">
        <f t="shared" si="40"/>
        <v>44</v>
      </c>
      <c r="I88" s="32">
        <f t="shared" si="40"/>
        <v>36</v>
      </c>
      <c r="J88" s="32">
        <f t="shared" si="40"/>
        <v>26</v>
      </c>
      <c r="K88" s="32">
        <f t="shared" si="40"/>
        <v>23</v>
      </c>
      <c r="L88" s="32">
        <f t="shared" si="40"/>
        <v>37</v>
      </c>
      <c r="M88" s="32">
        <f t="shared" si="40"/>
        <v>37</v>
      </c>
      <c r="N88" s="89">
        <f t="shared" si="40"/>
        <v>33</v>
      </c>
      <c r="O88" s="18">
        <f t="shared" si="39"/>
        <v>417</v>
      </c>
    </row>
    <row r="89" spans="1:15" ht="15.75" thickBot="1" x14ac:dyDescent="0.3">
      <c r="A89" s="1"/>
      <c r="B89" s="8" t="s">
        <v>17</v>
      </c>
      <c r="C89" s="41">
        <f>+C84*C86</f>
        <v>465</v>
      </c>
      <c r="D89" s="43">
        <f t="shared" ref="D89:N89" si="41">+D84*D86</f>
        <v>435</v>
      </c>
      <c r="E89" s="43">
        <f t="shared" si="41"/>
        <v>465</v>
      </c>
      <c r="F89" s="43">
        <f t="shared" si="41"/>
        <v>450</v>
      </c>
      <c r="G89" s="43">
        <f t="shared" si="41"/>
        <v>465</v>
      </c>
      <c r="H89" s="43">
        <f t="shared" si="41"/>
        <v>450</v>
      </c>
      <c r="I89" s="43">
        <f t="shared" si="41"/>
        <v>465</v>
      </c>
      <c r="J89" s="43">
        <f t="shared" si="41"/>
        <v>465</v>
      </c>
      <c r="K89" s="43">
        <f t="shared" si="41"/>
        <v>450</v>
      </c>
      <c r="L89" s="43">
        <f t="shared" si="41"/>
        <v>465</v>
      </c>
      <c r="M89" s="43">
        <f t="shared" si="41"/>
        <v>450</v>
      </c>
      <c r="N89" s="90">
        <f t="shared" si="41"/>
        <v>465</v>
      </c>
      <c r="O89" s="18">
        <f t="shared" si="39"/>
        <v>5490</v>
      </c>
    </row>
    <row r="90" spans="1:15" ht="15.75" thickBot="1" x14ac:dyDescent="0.3">
      <c r="A90" s="1"/>
      <c r="B90" s="59" t="s">
        <v>18</v>
      </c>
      <c r="C90" s="20">
        <f t="shared" ref="C90:N90" si="42">+C203+C223</f>
        <v>148</v>
      </c>
      <c r="D90" s="32">
        <f t="shared" si="42"/>
        <v>129</v>
      </c>
      <c r="E90" s="32">
        <f t="shared" si="42"/>
        <v>95</v>
      </c>
      <c r="F90" s="32">
        <f t="shared" si="42"/>
        <v>177</v>
      </c>
      <c r="G90" s="32">
        <f t="shared" si="42"/>
        <v>119</v>
      </c>
      <c r="H90" s="32">
        <f t="shared" si="42"/>
        <v>157</v>
      </c>
      <c r="I90" s="32">
        <f t="shared" si="42"/>
        <v>153</v>
      </c>
      <c r="J90" s="32">
        <f t="shared" si="42"/>
        <v>114</v>
      </c>
      <c r="K90" s="32">
        <f t="shared" si="42"/>
        <v>60</v>
      </c>
      <c r="L90" s="32">
        <f t="shared" si="42"/>
        <v>108</v>
      </c>
      <c r="M90" s="32">
        <f t="shared" si="42"/>
        <v>126</v>
      </c>
      <c r="N90" s="89">
        <f t="shared" si="42"/>
        <v>108</v>
      </c>
      <c r="O90" s="18">
        <f t="shared" si="39"/>
        <v>1494</v>
      </c>
    </row>
    <row r="91" spans="1:15" ht="15.75" thickBot="1" x14ac:dyDescent="0.3">
      <c r="A91" s="1"/>
      <c r="B91" s="59" t="s">
        <v>19</v>
      </c>
      <c r="C91" s="20">
        <f t="shared" ref="C91:N91" si="43">+C204+C224</f>
        <v>148</v>
      </c>
      <c r="D91" s="32">
        <f t="shared" si="43"/>
        <v>146</v>
      </c>
      <c r="E91" s="32">
        <f t="shared" si="43"/>
        <v>160</v>
      </c>
      <c r="F91" s="32">
        <f t="shared" si="43"/>
        <v>286</v>
      </c>
      <c r="G91" s="32">
        <f t="shared" si="43"/>
        <v>164</v>
      </c>
      <c r="H91" s="32">
        <f t="shared" si="43"/>
        <v>190</v>
      </c>
      <c r="I91" s="32">
        <f t="shared" si="43"/>
        <v>201</v>
      </c>
      <c r="J91" s="32">
        <f t="shared" si="43"/>
        <v>142</v>
      </c>
      <c r="K91" s="32">
        <f t="shared" si="43"/>
        <v>60</v>
      </c>
      <c r="L91" s="32">
        <f t="shared" si="43"/>
        <v>157</v>
      </c>
      <c r="M91" s="32">
        <f t="shared" si="43"/>
        <v>188</v>
      </c>
      <c r="N91" s="89">
        <f t="shared" si="43"/>
        <v>183</v>
      </c>
      <c r="O91" s="18">
        <f t="shared" si="39"/>
        <v>2025</v>
      </c>
    </row>
    <row r="92" spans="1:15" ht="15.75" thickBot="1" x14ac:dyDescent="0.3">
      <c r="A92" s="1"/>
      <c r="B92" s="60" t="s">
        <v>51</v>
      </c>
      <c r="C92" s="79">
        <f t="shared" ref="C92:N92" si="44">+C205+C225</f>
        <v>101</v>
      </c>
      <c r="D92" s="75">
        <f t="shared" si="44"/>
        <v>175</v>
      </c>
      <c r="E92" s="75">
        <f t="shared" si="44"/>
        <v>222</v>
      </c>
      <c r="F92" s="75">
        <f t="shared" si="44"/>
        <v>170</v>
      </c>
      <c r="G92" s="75">
        <f t="shared" si="44"/>
        <v>111</v>
      </c>
      <c r="H92" s="75">
        <f t="shared" si="44"/>
        <v>164</v>
      </c>
      <c r="I92" s="75">
        <f t="shared" si="44"/>
        <v>111</v>
      </c>
      <c r="J92" s="75">
        <f t="shared" si="44"/>
        <v>113</v>
      </c>
      <c r="K92" s="75">
        <f t="shared" si="44"/>
        <v>176</v>
      </c>
      <c r="L92" s="75">
        <f t="shared" si="44"/>
        <v>298</v>
      </c>
      <c r="M92" s="75">
        <f t="shared" si="44"/>
        <v>180</v>
      </c>
      <c r="N92" s="91">
        <f t="shared" si="44"/>
        <v>167</v>
      </c>
      <c r="O92" s="18">
        <f t="shared" si="39"/>
        <v>1988</v>
      </c>
    </row>
    <row r="93" spans="1:15" ht="15.75" thickBot="1" x14ac:dyDescent="0.3">
      <c r="A93" s="1"/>
      <c r="B93" s="61" t="s">
        <v>21</v>
      </c>
      <c r="C93" s="70">
        <f t="shared" ref="C93:O93" si="45">+IF(C88&gt;0,C90/C88,"")</f>
        <v>4.3529411764705879</v>
      </c>
      <c r="D93" s="71">
        <f t="shared" si="45"/>
        <v>3.7941176470588234</v>
      </c>
      <c r="E93" s="71">
        <f t="shared" si="45"/>
        <v>2.4358974358974357</v>
      </c>
      <c r="F93" s="71">
        <f t="shared" si="45"/>
        <v>4.1162790697674421</v>
      </c>
      <c r="G93" s="71">
        <f t="shared" si="45"/>
        <v>3.838709677419355</v>
      </c>
      <c r="H93" s="71">
        <f t="shared" si="45"/>
        <v>3.5681818181818183</v>
      </c>
      <c r="I93" s="71">
        <f t="shared" si="45"/>
        <v>4.25</v>
      </c>
      <c r="J93" s="71">
        <f t="shared" si="45"/>
        <v>4.384615384615385</v>
      </c>
      <c r="K93" s="71">
        <f t="shared" si="45"/>
        <v>2.6086956521739131</v>
      </c>
      <c r="L93" s="71">
        <f t="shared" si="45"/>
        <v>2.9189189189189189</v>
      </c>
      <c r="M93" s="71">
        <f t="shared" si="45"/>
        <v>3.4054054054054053</v>
      </c>
      <c r="N93" s="68">
        <f t="shared" si="45"/>
        <v>3.2727272727272729</v>
      </c>
      <c r="O93" s="47">
        <f t="shared" si="45"/>
        <v>3.5827338129496402</v>
      </c>
    </row>
    <row r="94" spans="1:15" ht="15.75" thickBot="1" x14ac:dyDescent="0.3">
      <c r="A94" s="1"/>
      <c r="B94" s="61" t="s">
        <v>23</v>
      </c>
      <c r="C94" s="65">
        <f t="shared" ref="C94:N94" si="46">+IF(C88&gt;0,C88/C86,"")</f>
        <v>2.2666666666666666</v>
      </c>
      <c r="D94" s="42">
        <f t="shared" si="46"/>
        <v>2.2666666666666666</v>
      </c>
      <c r="E94" s="42">
        <f t="shared" si="46"/>
        <v>2.6</v>
      </c>
      <c r="F94" s="42">
        <f t="shared" si="46"/>
        <v>2.8666666666666667</v>
      </c>
      <c r="G94" s="42">
        <f t="shared" si="46"/>
        <v>2.0666666666666669</v>
      </c>
      <c r="H94" s="42">
        <f t="shared" si="46"/>
        <v>2.9333333333333331</v>
      </c>
      <c r="I94" s="42">
        <f t="shared" si="46"/>
        <v>2.4</v>
      </c>
      <c r="J94" s="42">
        <f t="shared" si="46"/>
        <v>1.7333333333333334</v>
      </c>
      <c r="K94" s="42">
        <f t="shared" si="46"/>
        <v>1.5333333333333334</v>
      </c>
      <c r="L94" s="42">
        <f t="shared" si="46"/>
        <v>2.4666666666666668</v>
      </c>
      <c r="M94" s="42">
        <f t="shared" si="46"/>
        <v>2.4666666666666668</v>
      </c>
      <c r="N94" s="46">
        <f t="shared" si="46"/>
        <v>2.2000000000000002</v>
      </c>
      <c r="O94" s="87">
        <f>+IF(O88&gt;0,AVERAGE(C88:N88)/O86,"")</f>
        <v>2.3166666666666669</v>
      </c>
    </row>
    <row r="95" spans="1:15" ht="15.75" thickBot="1" x14ac:dyDescent="0.3">
      <c r="A95" s="1"/>
      <c r="B95" s="61" t="s">
        <v>24</v>
      </c>
      <c r="C95" s="65">
        <f t="shared" ref="C95:O95" si="47">+IF(C88&gt;0,(C89-C92)/C88,"")</f>
        <v>10.705882352941176</v>
      </c>
      <c r="D95" s="42">
        <f t="shared" si="47"/>
        <v>7.6470588235294121</v>
      </c>
      <c r="E95" s="42">
        <f t="shared" si="47"/>
        <v>6.2307692307692308</v>
      </c>
      <c r="F95" s="42">
        <f t="shared" si="47"/>
        <v>6.5116279069767442</v>
      </c>
      <c r="G95" s="42">
        <f t="shared" si="47"/>
        <v>11.419354838709678</v>
      </c>
      <c r="H95" s="42">
        <f t="shared" si="47"/>
        <v>6.5</v>
      </c>
      <c r="I95" s="42">
        <f t="shared" si="47"/>
        <v>9.8333333333333339</v>
      </c>
      <c r="J95" s="42">
        <f t="shared" si="47"/>
        <v>13.538461538461538</v>
      </c>
      <c r="K95" s="42">
        <f t="shared" si="47"/>
        <v>11.913043478260869</v>
      </c>
      <c r="L95" s="42">
        <f t="shared" si="47"/>
        <v>4.5135135135135132</v>
      </c>
      <c r="M95" s="42">
        <f t="shared" si="47"/>
        <v>7.2972972972972974</v>
      </c>
      <c r="N95" s="46">
        <f t="shared" si="47"/>
        <v>9.0303030303030312</v>
      </c>
      <c r="O95" s="47">
        <f t="shared" si="47"/>
        <v>8.3980815347721816</v>
      </c>
    </row>
    <row r="96" spans="1:15" ht="15.75" thickBot="1" x14ac:dyDescent="0.3">
      <c r="A96" s="1"/>
      <c r="B96" s="61" t="s">
        <v>25</v>
      </c>
      <c r="C96" s="65">
        <f t="shared" ref="C96:O96" si="48">+IF(C92&gt;0,(C92/C89)*100,"")</f>
        <v>21.72043010752688</v>
      </c>
      <c r="D96" s="42">
        <f t="shared" si="48"/>
        <v>40.229885057471265</v>
      </c>
      <c r="E96" s="42">
        <f t="shared" si="48"/>
        <v>47.741935483870968</v>
      </c>
      <c r="F96" s="42">
        <f t="shared" si="48"/>
        <v>37.777777777777779</v>
      </c>
      <c r="G96" s="42">
        <f t="shared" si="48"/>
        <v>23.870967741935484</v>
      </c>
      <c r="H96" s="42">
        <f t="shared" si="48"/>
        <v>36.444444444444443</v>
      </c>
      <c r="I96" s="42">
        <f t="shared" si="48"/>
        <v>23.870967741935484</v>
      </c>
      <c r="J96" s="42">
        <f t="shared" si="48"/>
        <v>24.301075268817204</v>
      </c>
      <c r="K96" s="42">
        <f t="shared" si="48"/>
        <v>39.111111111111114</v>
      </c>
      <c r="L96" s="42">
        <f t="shared" si="48"/>
        <v>64.086021505376351</v>
      </c>
      <c r="M96" s="42">
        <f t="shared" si="48"/>
        <v>40</v>
      </c>
      <c r="N96" s="46">
        <f t="shared" si="48"/>
        <v>35.913978494623656</v>
      </c>
      <c r="O96" s="47">
        <f t="shared" si="48"/>
        <v>36.211293260473589</v>
      </c>
    </row>
    <row r="97" spans="1:15" ht="15.75" thickBot="1" x14ac:dyDescent="0.3">
      <c r="A97" s="1"/>
      <c r="B97" s="59" t="s">
        <v>26</v>
      </c>
      <c r="C97" s="64">
        <f>+SUM(C98:C99)</f>
        <v>1</v>
      </c>
      <c r="D97" s="41">
        <f t="shared" ref="D97:N97" si="49">+SUM(D98:D99)</f>
        <v>1</v>
      </c>
      <c r="E97" s="41">
        <f t="shared" si="49"/>
        <v>1</v>
      </c>
      <c r="F97" s="41">
        <f t="shared" si="49"/>
        <v>0</v>
      </c>
      <c r="G97" s="41">
        <f t="shared" si="49"/>
        <v>1</v>
      </c>
      <c r="H97" s="41">
        <f t="shared" si="49"/>
        <v>0</v>
      </c>
      <c r="I97" s="41">
        <f t="shared" si="49"/>
        <v>0</v>
      </c>
      <c r="J97" s="41">
        <f t="shared" si="49"/>
        <v>0</v>
      </c>
      <c r="K97" s="41">
        <f t="shared" si="49"/>
        <v>1</v>
      </c>
      <c r="L97" s="41">
        <f t="shared" si="49"/>
        <v>0</v>
      </c>
      <c r="M97" s="41">
        <f t="shared" si="49"/>
        <v>2</v>
      </c>
      <c r="N97" s="45">
        <f t="shared" si="49"/>
        <v>0</v>
      </c>
      <c r="O97" s="18">
        <f>+SUM(C97:N97)</f>
        <v>7</v>
      </c>
    </row>
    <row r="98" spans="1:15" ht="15.75" thickBot="1" x14ac:dyDescent="0.3">
      <c r="A98" s="1"/>
      <c r="B98" s="59" t="s">
        <v>52</v>
      </c>
      <c r="C98" s="20">
        <f t="shared" ref="C98:N98" si="50">+C211+C231</f>
        <v>1</v>
      </c>
      <c r="D98" s="32">
        <f t="shared" si="50"/>
        <v>0</v>
      </c>
      <c r="E98" s="32">
        <f t="shared" si="50"/>
        <v>1</v>
      </c>
      <c r="F98" s="32">
        <f t="shared" si="50"/>
        <v>0</v>
      </c>
      <c r="G98" s="32">
        <f t="shared" si="50"/>
        <v>0</v>
      </c>
      <c r="H98" s="32">
        <f t="shared" si="50"/>
        <v>0</v>
      </c>
      <c r="I98" s="32">
        <f t="shared" si="50"/>
        <v>0</v>
      </c>
      <c r="J98" s="32">
        <f t="shared" si="50"/>
        <v>0</v>
      </c>
      <c r="K98" s="32">
        <f t="shared" si="50"/>
        <v>0</v>
      </c>
      <c r="L98" s="32">
        <f t="shared" si="50"/>
        <v>0</v>
      </c>
      <c r="M98" s="32">
        <f t="shared" si="50"/>
        <v>2</v>
      </c>
      <c r="N98" s="89">
        <f t="shared" si="50"/>
        <v>0</v>
      </c>
      <c r="O98" s="18">
        <f>+SUM(C98:N98)</f>
        <v>4</v>
      </c>
    </row>
    <row r="99" spans="1:15" ht="15.75" thickBot="1" x14ac:dyDescent="0.3">
      <c r="A99" s="1"/>
      <c r="B99" s="59" t="s">
        <v>53</v>
      </c>
      <c r="C99" s="20">
        <v>0</v>
      </c>
      <c r="D99" s="32">
        <f t="shared" ref="D99:N99" si="51">+D212+D232</f>
        <v>1</v>
      </c>
      <c r="E99" s="32">
        <f t="shared" si="51"/>
        <v>0</v>
      </c>
      <c r="F99" s="32">
        <f t="shared" si="51"/>
        <v>0</v>
      </c>
      <c r="G99" s="32">
        <f t="shared" si="51"/>
        <v>1</v>
      </c>
      <c r="H99" s="32">
        <f t="shared" si="51"/>
        <v>0</v>
      </c>
      <c r="I99" s="32">
        <f t="shared" si="51"/>
        <v>0</v>
      </c>
      <c r="J99" s="32">
        <f t="shared" si="51"/>
        <v>0</v>
      </c>
      <c r="K99" s="32">
        <f t="shared" si="51"/>
        <v>1</v>
      </c>
      <c r="L99" s="32">
        <f t="shared" si="51"/>
        <v>0</v>
      </c>
      <c r="M99" s="32">
        <f t="shared" si="51"/>
        <v>0</v>
      </c>
      <c r="N99" s="89">
        <f t="shared" si="51"/>
        <v>0</v>
      </c>
      <c r="O99" s="18">
        <f>+SUM(C99:N99)</f>
        <v>3</v>
      </c>
    </row>
    <row r="100" spans="1:15" ht="15.75" thickBot="1" x14ac:dyDescent="0.3">
      <c r="A100" s="1"/>
      <c r="B100" s="62" t="s">
        <v>31</v>
      </c>
      <c r="C100" s="24">
        <f>+C213+C233</f>
        <v>0</v>
      </c>
      <c r="D100" s="66">
        <f t="shared" ref="D100:N100" si="52">+D213+D233</f>
        <v>0</v>
      </c>
      <c r="E100" s="66">
        <f t="shared" si="52"/>
        <v>2</v>
      </c>
      <c r="F100" s="66">
        <f t="shared" si="52"/>
        <v>0</v>
      </c>
      <c r="G100" s="66">
        <f t="shared" si="52"/>
        <v>0</v>
      </c>
      <c r="H100" s="66">
        <f t="shared" si="52"/>
        <v>0</v>
      </c>
      <c r="I100" s="66">
        <f t="shared" si="52"/>
        <v>0</v>
      </c>
      <c r="J100" s="66">
        <f t="shared" si="52"/>
        <v>0</v>
      </c>
      <c r="K100" s="66">
        <f t="shared" si="52"/>
        <v>0</v>
      </c>
      <c r="L100" s="66">
        <f t="shared" si="52"/>
        <v>0</v>
      </c>
      <c r="M100" s="66">
        <f t="shared" si="52"/>
        <v>0</v>
      </c>
      <c r="N100" s="92">
        <f t="shared" si="52"/>
        <v>0</v>
      </c>
      <c r="O100" s="28">
        <f>+SUM(C100:N100)</f>
        <v>2</v>
      </c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6.5" thickBot="1" x14ac:dyDescent="0.3">
      <c r="A103" s="1"/>
      <c r="B103" s="1"/>
      <c r="C103" s="199" t="s">
        <v>49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199">
        <f>+[2]INICIO!M4</f>
        <v>2016</v>
      </c>
      <c r="O103" s="201"/>
    </row>
    <row r="104" spans="1:15" ht="15.75" thickBot="1" x14ac:dyDescent="0.3">
      <c r="A104" s="1"/>
      <c r="B104" s="7"/>
      <c r="C104" s="39">
        <v>31</v>
      </c>
      <c r="D104" s="39">
        <v>29</v>
      </c>
      <c r="E104" s="39">
        <v>31</v>
      </c>
      <c r="F104" s="39">
        <v>30</v>
      </c>
      <c r="G104" s="39">
        <v>31</v>
      </c>
      <c r="H104" s="39">
        <v>30</v>
      </c>
      <c r="I104" s="39">
        <v>31</v>
      </c>
      <c r="J104" s="39">
        <v>31</v>
      </c>
      <c r="K104" s="39">
        <v>30</v>
      </c>
      <c r="L104" s="39">
        <v>31</v>
      </c>
      <c r="M104" s="39">
        <v>30</v>
      </c>
      <c r="N104" s="39">
        <v>31</v>
      </c>
      <c r="O104" s="86">
        <v>36</v>
      </c>
    </row>
    <row r="105" spans="1:15" ht="15.75" thickBot="1" x14ac:dyDescent="0.3">
      <c r="A105" s="1"/>
      <c r="B105" s="10" t="s">
        <v>56</v>
      </c>
      <c r="C105" s="11" t="s">
        <v>1</v>
      </c>
      <c r="D105" s="12" t="s">
        <v>2</v>
      </c>
      <c r="E105" s="12" t="s">
        <v>3</v>
      </c>
      <c r="F105" s="12" t="s">
        <v>4</v>
      </c>
      <c r="G105" s="12" t="s">
        <v>5</v>
      </c>
      <c r="H105" s="12" t="s">
        <v>6</v>
      </c>
      <c r="I105" s="12" t="s">
        <v>7</v>
      </c>
      <c r="J105" s="12" t="s">
        <v>8</v>
      </c>
      <c r="K105" s="13" t="s">
        <v>9</v>
      </c>
      <c r="L105" s="13" t="s">
        <v>10</v>
      </c>
      <c r="M105" s="13" t="s">
        <v>11</v>
      </c>
      <c r="N105" s="13" t="s">
        <v>12</v>
      </c>
      <c r="O105" s="14" t="s">
        <v>13</v>
      </c>
    </row>
    <row r="106" spans="1:15" ht="15.75" thickBot="1" x14ac:dyDescent="0.3">
      <c r="A106" s="1"/>
      <c r="B106" s="8" t="s">
        <v>14</v>
      </c>
      <c r="C106" s="44">
        <v>30</v>
      </c>
      <c r="D106" s="44">
        <v>30</v>
      </c>
      <c r="E106" s="44">
        <v>30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  <c r="N106" s="48">
        <v>30</v>
      </c>
      <c r="O106" s="36">
        <f>+AVERAGE(C106:N106)</f>
        <v>30</v>
      </c>
    </row>
    <row r="107" spans="1:15" ht="15.75" thickBot="1" x14ac:dyDescent="0.3">
      <c r="A107" s="1"/>
      <c r="B107" s="8" t="s">
        <v>15</v>
      </c>
      <c r="C107" s="32">
        <v>98</v>
      </c>
      <c r="D107" s="21">
        <v>87</v>
      </c>
      <c r="E107" s="21">
        <v>114</v>
      </c>
      <c r="F107" s="3">
        <v>85</v>
      </c>
      <c r="G107" s="3">
        <v>124</v>
      </c>
      <c r="H107" s="3">
        <v>77</v>
      </c>
      <c r="I107" s="3">
        <v>82</v>
      </c>
      <c r="J107" s="3">
        <v>106</v>
      </c>
      <c r="K107" s="3">
        <v>105</v>
      </c>
      <c r="L107" s="3">
        <v>81</v>
      </c>
      <c r="M107" s="3">
        <v>79</v>
      </c>
      <c r="N107" s="33">
        <v>57</v>
      </c>
      <c r="O107" s="18">
        <f t="shared" ref="O107:O112" si="53">+SUM(C107:N107)</f>
        <v>1095</v>
      </c>
    </row>
    <row r="108" spans="1:15" ht="15.75" thickBot="1" x14ac:dyDescent="0.3">
      <c r="A108" s="1"/>
      <c r="B108" s="8" t="s">
        <v>16</v>
      </c>
      <c r="C108" s="32">
        <v>88</v>
      </c>
      <c r="D108" s="21">
        <v>90</v>
      </c>
      <c r="E108" s="21">
        <v>108</v>
      </c>
      <c r="F108" s="3">
        <v>95</v>
      </c>
      <c r="G108" s="3">
        <v>129</v>
      </c>
      <c r="H108" s="3">
        <v>72</v>
      </c>
      <c r="I108" s="3">
        <v>85</v>
      </c>
      <c r="J108" s="3">
        <v>106</v>
      </c>
      <c r="K108" s="3">
        <v>105</v>
      </c>
      <c r="L108" s="3">
        <v>76</v>
      </c>
      <c r="M108" s="3">
        <v>79</v>
      </c>
      <c r="N108" s="33">
        <v>62</v>
      </c>
      <c r="O108" s="18">
        <f t="shared" si="53"/>
        <v>1095</v>
      </c>
    </row>
    <row r="109" spans="1:15" ht="15.75" thickBot="1" x14ac:dyDescent="0.3">
      <c r="A109" s="1"/>
      <c r="B109" s="8" t="s">
        <v>17</v>
      </c>
      <c r="C109" s="41">
        <f>+C104*C106</f>
        <v>930</v>
      </c>
      <c r="D109" s="41">
        <f t="shared" ref="D109:N109" si="54">+D104*D106</f>
        <v>870</v>
      </c>
      <c r="E109" s="41">
        <f t="shared" si="54"/>
        <v>930</v>
      </c>
      <c r="F109" s="41">
        <f t="shared" si="54"/>
        <v>900</v>
      </c>
      <c r="G109" s="41">
        <f t="shared" si="54"/>
        <v>930</v>
      </c>
      <c r="H109" s="41">
        <f t="shared" si="54"/>
        <v>900</v>
      </c>
      <c r="I109" s="41">
        <f t="shared" si="54"/>
        <v>930</v>
      </c>
      <c r="J109" s="41">
        <f t="shared" si="54"/>
        <v>930</v>
      </c>
      <c r="K109" s="41">
        <f t="shared" si="54"/>
        <v>900</v>
      </c>
      <c r="L109" s="41">
        <f t="shared" si="54"/>
        <v>930</v>
      </c>
      <c r="M109" s="41">
        <f t="shared" si="54"/>
        <v>900</v>
      </c>
      <c r="N109" s="41">
        <f t="shared" si="54"/>
        <v>930</v>
      </c>
      <c r="O109" s="18">
        <f t="shared" si="53"/>
        <v>10980</v>
      </c>
    </row>
    <row r="110" spans="1:15" ht="15.75" thickBot="1" x14ac:dyDescent="0.3">
      <c r="A110" s="1"/>
      <c r="B110" s="8" t="s">
        <v>18</v>
      </c>
      <c r="C110" s="32">
        <v>287</v>
      </c>
      <c r="D110" s="21">
        <v>266</v>
      </c>
      <c r="E110" s="21">
        <v>336</v>
      </c>
      <c r="F110" s="3">
        <v>298</v>
      </c>
      <c r="G110" s="3">
        <v>366</v>
      </c>
      <c r="H110" s="3">
        <v>219</v>
      </c>
      <c r="I110" s="3">
        <v>268</v>
      </c>
      <c r="J110" s="3">
        <v>338</v>
      </c>
      <c r="K110" s="3">
        <v>357</v>
      </c>
      <c r="L110" s="3">
        <v>240</v>
      </c>
      <c r="M110" s="3">
        <v>185</v>
      </c>
      <c r="N110" s="33">
        <v>182</v>
      </c>
      <c r="O110" s="18">
        <f t="shared" si="53"/>
        <v>3342</v>
      </c>
    </row>
    <row r="111" spans="1:15" ht="15.75" thickBot="1" x14ac:dyDescent="0.3">
      <c r="A111" s="1"/>
      <c r="B111" s="8" t="s">
        <v>19</v>
      </c>
      <c r="C111" s="32">
        <v>295</v>
      </c>
      <c r="D111" s="21">
        <v>346</v>
      </c>
      <c r="E111" s="21">
        <v>418</v>
      </c>
      <c r="F111" s="3">
        <v>361</v>
      </c>
      <c r="G111" s="3">
        <v>409</v>
      </c>
      <c r="H111" s="3">
        <v>236</v>
      </c>
      <c r="I111" s="3">
        <v>285</v>
      </c>
      <c r="J111" s="3">
        <v>373</v>
      </c>
      <c r="K111" s="3">
        <v>393</v>
      </c>
      <c r="L111" s="3">
        <v>252</v>
      </c>
      <c r="M111" s="3">
        <v>272</v>
      </c>
      <c r="N111" s="33">
        <v>304</v>
      </c>
      <c r="O111" s="18">
        <f t="shared" si="53"/>
        <v>3944</v>
      </c>
    </row>
    <row r="112" spans="1:15" ht="15.75" thickBot="1" x14ac:dyDescent="0.3">
      <c r="A112" s="1"/>
      <c r="B112" s="9" t="s">
        <v>51</v>
      </c>
      <c r="C112" s="75">
        <v>332</v>
      </c>
      <c r="D112" s="76">
        <v>325</v>
      </c>
      <c r="E112" s="76">
        <v>407</v>
      </c>
      <c r="F112" s="77">
        <v>286</v>
      </c>
      <c r="G112" s="76">
        <v>277</v>
      </c>
      <c r="H112" s="76">
        <v>110</v>
      </c>
      <c r="I112" s="76">
        <v>299</v>
      </c>
      <c r="J112" s="76">
        <v>370</v>
      </c>
      <c r="K112" s="76">
        <v>394</v>
      </c>
      <c r="L112" s="76">
        <v>320</v>
      </c>
      <c r="M112" s="76">
        <v>266</v>
      </c>
      <c r="N112" s="78">
        <v>260</v>
      </c>
      <c r="O112" s="18">
        <f t="shared" si="53"/>
        <v>3646</v>
      </c>
    </row>
    <row r="113" spans="1:15" ht="15.75" thickBot="1" x14ac:dyDescent="0.3">
      <c r="A113" s="1"/>
      <c r="B113" s="38" t="s">
        <v>21</v>
      </c>
      <c r="C113" s="70">
        <f t="shared" ref="C113:O113" si="55">+IF(C108&gt;0,C110/C108,"")</f>
        <v>3.2613636363636362</v>
      </c>
      <c r="D113" s="71">
        <f t="shared" si="55"/>
        <v>2.9555555555555557</v>
      </c>
      <c r="E113" s="71">
        <f t="shared" si="55"/>
        <v>3.1111111111111112</v>
      </c>
      <c r="F113" s="71">
        <f t="shared" si="55"/>
        <v>3.1368421052631579</v>
      </c>
      <c r="G113" s="71">
        <f t="shared" si="55"/>
        <v>2.8372093023255816</v>
      </c>
      <c r="H113" s="71">
        <f t="shared" si="55"/>
        <v>3.0416666666666665</v>
      </c>
      <c r="I113" s="71">
        <f t="shared" si="55"/>
        <v>3.1529411764705881</v>
      </c>
      <c r="J113" s="71">
        <f t="shared" si="55"/>
        <v>3.1886792452830188</v>
      </c>
      <c r="K113" s="71">
        <f t="shared" si="55"/>
        <v>3.4</v>
      </c>
      <c r="L113" s="71">
        <f t="shared" si="55"/>
        <v>3.1578947368421053</v>
      </c>
      <c r="M113" s="71">
        <f t="shared" si="55"/>
        <v>2.3417721518987342</v>
      </c>
      <c r="N113" s="73">
        <f t="shared" si="55"/>
        <v>2.935483870967742</v>
      </c>
      <c r="O113" s="47">
        <f t="shared" si="55"/>
        <v>3.0520547945205481</v>
      </c>
    </row>
    <row r="114" spans="1:15" ht="15.75" thickBot="1" x14ac:dyDescent="0.3">
      <c r="A114" s="1"/>
      <c r="B114" s="38" t="s">
        <v>23</v>
      </c>
      <c r="C114" s="42">
        <f t="shared" ref="C114:N114" si="56">+IF(C108&gt;0,C108/C106,"")</f>
        <v>2.9333333333333331</v>
      </c>
      <c r="D114" s="42">
        <f t="shared" si="56"/>
        <v>3</v>
      </c>
      <c r="E114" s="42">
        <f t="shared" si="56"/>
        <v>3.6</v>
      </c>
      <c r="F114" s="42">
        <f t="shared" si="56"/>
        <v>3.1666666666666665</v>
      </c>
      <c r="G114" s="42">
        <f t="shared" si="56"/>
        <v>4.3</v>
      </c>
      <c r="H114" s="42">
        <f t="shared" si="56"/>
        <v>2.4</v>
      </c>
      <c r="I114" s="42">
        <f t="shared" si="56"/>
        <v>2.8333333333333335</v>
      </c>
      <c r="J114" s="42">
        <f t="shared" si="56"/>
        <v>3.5333333333333332</v>
      </c>
      <c r="K114" s="42">
        <f t="shared" si="56"/>
        <v>3.5</v>
      </c>
      <c r="L114" s="42">
        <f t="shared" si="56"/>
        <v>2.5333333333333332</v>
      </c>
      <c r="M114" s="42">
        <f t="shared" si="56"/>
        <v>2.6333333333333333</v>
      </c>
      <c r="N114" s="46">
        <f t="shared" si="56"/>
        <v>2.0666666666666669</v>
      </c>
      <c r="O114" s="87">
        <f>+IF(O108&gt;0,AVERAGE(C108:N108)/O106,"")</f>
        <v>3.0416666666666665</v>
      </c>
    </row>
    <row r="115" spans="1:15" ht="15.75" thickBot="1" x14ac:dyDescent="0.3">
      <c r="A115" s="1"/>
      <c r="B115" s="38" t="s">
        <v>24</v>
      </c>
      <c r="C115" s="42">
        <f t="shared" ref="C115:O115" si="57">+IF(C108&gt;0,(C109-C112)/C108,"")</f>
        <v>6.7954545454545459</v>
      </c>
      <c r="D115" s="42">
        <f t="shared" si="57"/>
        <v>6.0555555555555554</v>
      </c>
      <c r="E115" s="42">
        <f t="shared" si="57"/>
        <v>4.8425925925925926</v>
      </c>
      <c r="F115" s="42">
        <f t="shared" si="57"/>
        <v>6.4631578947368418</v>
      </c>
      <c r="G115" s="42">
        <f t="shared" si="57"/>
        <v>5.0620155038759691</v>
      </c>
      <c r="H115" s="42">
        <f t="shared" si="57"/>
        <v>10.972222222222221</v>
      </c>
      <c r="I115" s="42">
        <f t="shared" si="57"/>
        <v>7.4235294117647062</v>
      </c>
      <c r="J115" s="42">
        <f t="shared" si="57"/>
        <v>5.283018867924528</v>
      </c>
      <c r="K115" s="42">
        <f t="shared" si="57"/>
        <v>4.8190476190476188</v>
      </c>
      <c r="L115" s="42">
        <f t="shared" si="57"/>
        <v>8.026315789473685</v>
      </c>
      <c r="M115" s="42">
        <f t="shared" si="57"/>
        <v>8.0253164556962027</v>
      </c>
      <c r="N115" s="42">
        <f t="shared" si="57"/>
        <v>10.806451612903226</v>
      </c>
      <c r="O115" s="47">
        <f t="shared" si="57"/>
        <v>6.6977168949771686</v>
      </c>
    </row>
    <row r="116" spans="1:15" ht="15.75" thickBot="1" x14ac:dyDescent="0.3">
      <c r="A116" s="1"/>
      <c r="B116" s="38" t="s">
        <v>25</v>
      </c>
      <c r="C116" s="42">
        <f t="shared" ref="C116:O116" si="58">+IF(C112&gt;0,(C112/C109)*100,"")</f>
        <v>35.6989247311828</v>
      </c>
      <c r="D116" s="42">
        <f t="shared" si="58"/>
        <v>37.356321839080458</v>
      </c>
      <c r="E116" s="42">
        <f t="shared" si="58"/>
        <v>43.763440860215056</v>
      </c>
      <c r="F116" s="42">
        <f t="shared" si="58"/>
        <v>31.777777777777779</v>
      </c>
      <c r="G116" s="42">
        <f t="shared" si="58"/>
        <v>29.78494623655914</v>
      </c>
      <c r="H116" s="42">
        <f t="shared" si="58"/>
        <v>12.222222222222221</v>
      </c>
      <c r="I116" s="42">
        <f t="shared" si="58"/>
        <v>32.150537634408607</v>
      </c>
      <c r="J116" s="42">
        <f t="shared" si="58"/>
        <v>39.784946236559136</v>
      </c>
      <c r="K116" s="42">
        <f t="shared" si="58"/>
        <v>43.777777777777779</v>
      </c>
      <c r="L116" s="42">
        <f t="shared" si="58"/>
        <v>34.408602150537639</v>
      </c>
      <c r="M116" s="42">
        <f t="shared" si="58"/>
        <v>29.555555555555557</v>
      </c>
      <c r="N116" s="46">
        <f t="shared" si="58"/>
        <v>27.956989247311824</v>
      </c>
      <c r="O116" s="47">
        <f t="shared" si="58"/>
        <v>33.205828779599273</v>
      </c>
    </row>
    <row r="117" spans="1:15" ht="15.75" thickBot="1" x14ac:dyDescent="0.3">
      <c r="A117" s="1"/>
      <c r="B117" s="8" t="s">
        <v>26</v>
      </c>
      <c r="C117" s="41">
        <f>+SUM(C118:C119)</f>
        <v>0</v>
      </c>
      <c r="D117" s="41">
        <f t="shared" ref="D117:N117" si="59">+SUM(D118:D119)</f>
        <v>0</v>
      </c>
      <c r="E117" s="41">
        <f t="shared" si="59"/>
        <v>0</v>
      </c>
      <c r="F117" s="41">
        <f t="shared" si="59"/>
        <v>1</v>
      </c>
      <c r="G117" s="41">
        <f t="shared" si="59"/>
        <v>0</v>
      </c>
      <c r="H117" s="41">
        <f t="shared" si="59"/>
        <v>0</v>
      </c>
      <c r="I117" s="41">
        <f t="shared" si="59"/>
        <v>0</v>
      </c>
      <c r="J117" s="41">
        <f t="shared" si="59"/>
        <v>0</v>
      </c>
      <c r="K117" s="41">
        <f t="shared" si="59"/>
        <v>0</v>
      </c>
      <c r="L117" s="41">
        <f t="shared" si="59"/>
        <v>0</v>
      </c>
      <c r="M117" s="41">
        <f t="shared" si="59"/>
        <v>0</v>
      </c>
      <c r="N117" s="41">
        <f t="shared" si="59"/>
        <v>0</v>
      </c>
      <c r="O117" s="18">
        <f>+SUM(C117:N117)</f>
        <v>1</v>
      </c>
    </row>
    <row r="118" spans="1:15" ht="15.75" thickBot="1" x14ac:dyDescent="0.3">
      <c r="A118" s="1"/>
      <c r="B118" s="8" t="s">
        <v>52</v>
      </c>
      <c r="C118" s="32">
        <v>0</v>
      </c>
      <c r="D118" s="21">
        <v>0</v>
      </c>
      <c r="E118" s="21">
        <v>0</v>
      </c>
      <c r="F118" s="3">
        <v>1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3">
        <v>0</v>
      </c>
      <c r="O118" s="18">
        <f>+SUM(C118:N118)</f>
        <v>1</v>
      </c>
    </row>
    <row r="119" spans="1:15" ht="15.75" thickBot="1" x14ac:dyDescent="0.3">
      <c r="A119" s="1"/>
      <c r="B119" s="8" t="s">
        <v>53</v>
      </c>
      <c r="C119" s="32">
        <v>0</v>
      </c>
      <c r="D119" s="21">
        <v>0</v>
      </c>
      <c r="E119" s="21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3">
        <v>0</v>
      </c>
      <c r="O119" s="18">
        <f>+SUM(C119:N119)</f>
        <v>0</v>
      </c>
    </row>
    <row r="120" spans="1:15" ht="15.75" thickBot="1" x14ac:dyDescent="0.3">
      <c r="A120" s="1"/>
      <c r="B120" s="15" t="s">
        <v>31</v>
      </c>
      <c r="C120" s="25">
        <v>0</v>
      </c>
      <c r="D120" s="25">
        <v>0</v>
      </c>
      <c r="E120" s="25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5">
        <v>0</v>
      </c>
      <c r="O120" s="28">
        <f>+SUM(C120:N120)</f>
        <v>0</v>
      </c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6.5" thickBot="1" x14ac:dyDescent="0.3">
      <c r="A123" s="1"/>
      <c r="B123" s="1"/>
      <c r="C123" s="199" t="s">
        <v>49</v>
      </c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199">
        <f>+[2]INICIO!M4</f>
        <v>2016</v>
      </c>
      <c r="O123" s="201"/>
    </row>
    <row r="124" spans="1:15" ht="15.75" thickBot="1" x14ac:dyDescent="0.3">
      <c r="A124" s="1"/>
      <c r="B124" s="7"/>
      <c r="C124" s="39">
        <v>31</v>
      </c>
      <c r="D124" s="39">
        <v>29</v>
      </c>
      <c r="E124" s="39">
        <v>31</v>
      </c>
      <c r="F124" s="39">
        <v>30</v>
      </c>
      <c r="G124" s="39">
        <v>31</v>
      </c>
      <c r="H124" s="39">
        <v>30</v>
      </c>
      <c r="I124" s="39">
        <v>31</v>
      </c>
      <c r="J124" s="39">
        <v>31</v>
      </c>
      <c r="K124" s="39">
        <v>30</v>
      </c>
      <c r="L124" s="39">
        <v>31</v>
      </c>
      <c r="M124" s="39">
        <v>30</v>
      </c>
      <c r="N124" s="39">
        <v>31</v>
      </c>
      <c r="O124" s="86">
        <v>8</v>
      </c>
    </row>
    <row r="125" spans="1:15" ht="15.75" thickBot="1" x14ac:dyDescent="0.3">
      <c r="A125" s="1"/>
      <c r="B125" s="10" t="s">
        <v>57</v>
      </c>
      <c r="C125" s="11" t="s">
        <v>1</v>
      </c>
      <c r="D125" s="12" t="s">
        <v>2</v>
      </c>
      <c r="E125" s="12" t="s">
        <v>3</v>
      </c>
      <c r="F125" s="12" t="s">
        <v>4</v>
      </c>
      <c r="G125" s="12" t="s">
        <v>5</v>
      </c>
      <c r="H125" s="12" t="s">
        <v>6</v>
      </c>
      <c r="I125" s="12" t="s">
        <v>7</v>
      </c>
      <c r="J125" s="12" t="s">
        <v>8</v>
      </c>
      <c r="K125" s="13" t="s">
        <v>9</v>
      </c>
      <c r="L125" s="13" t="s">
        <v>10</v>
      </c>
      <c r="M125" s="13" t="s">
        <v>11</v>
      </c>
      <c r="N125" s="13" t="s">
        <v>12</v>
      </c>
      <c r="O125" s="14" t="s">
        <v>13</v>
      </c>
    </row>
    <row r="126" spans="1:15" ht="15.75" thickBot="1" x14ac:dyDescent="0.3">
      <c r="A126" s="1"/>
      <c r="B126" s="8" t="s">
        <v>14</v>
      </c>
      <c r="C126" s="44">
        <v>8</v>
      </c>
      <c r="D126" s="44">
        <v>8</v>
      </c>
      <c r="E126" s="44">
        <v>8</v>
      </c>
      <c r="F126" s="44">
        <v>8</v>
      </c>
      <c r="G126" s="44">
        <v>8</v>
      </c>
      <c r="H126" s="44">
        <v>8</v>
      </c>
      <c r="I126" s="44">
        <v>8</v>
      </c>
      <c r="J126" s="44">
        <v>8</v>
      </c>
      <c r="K126" s="44">
        <v>8</v>
      </c>
      <c r="L126" s="44">
        <v>8</v>
      </c>
      <c r="M126" s="44">
        <v>8</v>
      </c>
      <c r="N126" s="48">
        <v>8</v>
      </c>
      <c r="O126" s="36">
        <f>+AVERAGE(C126:N126)</f>
        <v>8</v>
      </c>
    </row>
    <row r="127" spans="1:15" ht="15.75" thickBot="1" x14ac:dyDescent="0.3">
      <c r="A127" s="1"/>
      <c r="B127" s="8" t="s">
        <v>15</v>
      </c>
      <c r="C127" s="32">
        <v>24</v>
      </c>
      <c r="D127" s="21">
        <v>39</v>
      </c>
      <c r="E127" s="21">
        <v>41</v>
      </c>
      <c r="F127" s="3">
        <v>25</v>
      </c>
      <c r="G127" s="3">
        <v>37</v>
      </c>
      <c r="H127" s="3">
        <v>33</v>
      </c>
      <c r="I127" s="3">
        <v>34</v>
      </c>
      <c r="J127" s="3">
        <v>37</v>
      </c>
      <c r="K127" s="3">
        <v>34</v>
      </c>
      <c r="L127" s="3">
        <v>37</v>
      </c>
      <c r="M127" s="3">
        <v>30</v>
      </c>
      <c r="N127" s="33">
        <v>27</v>
      </c>
      <c r="O127" s="18">
        <f t="shared" ref="O127:O132" si="60">+SUM(C127:N127)</f>
        <v>398</v>
      </c>
    </row>
    <row r="128" spans="1:15" ht="15.75" thickBot="1" x14ac:dyDescent="0.3">
      <c r="A128" s="1"/>
      <c r="B128" s="8" t="s">
        <v>16</v>
      </c>
      <c r="C128" s="32">
        <v>25</v>
      </c>
      <c r="D128" s="21">
        <v>38</v>
      </c>
      <c r="E128" s="21">
        <v>42</v>
      </c>
      <c r="F128" s="3">
        <v>26</v>
      </c>
      <c r="G128" s="3">
        <v>36</v>
      </c>
      <c r="H128" s="3">
        <v>31</v>
      </c>
      <c r="I128" s="3">
        <v>37</v>
      </c>
      <c r="J128" s="3">
        <v>38</v>
      </c>
      <c r="K128" s="3">
        <v>33</v>
      </c>
      <c r="L128" s="3">
        <v>36</v>
      </c>
      <c r="M128" s="3">
        <v>32</v>
      </c>
      <c r="N128" s="33">
        <v>26</v>
      </c>
      <c r="O128" s="18">
        <f t="shared" si="60"/>
        <v>400</v>
      </c>
    </row>
    <row r="129" spans="1:15" ht="15.75" thickBot="1" x14ac:dyDescent="0.3">
      <c r="A129" s="1"/>
      <c r="B129" s="8" t="s">
        <v>17</v>
      </c>
      <c r="C129" s="41">
        <f>+C124*C126</f>
        <v>248</v>
      </c>
      <c r="D129" s="41">
        <f t="shared" ref="D129:N129" si="61">+D124*D126</f>
        <v>232</v>
      </c>
      <c r="E129" s="41">
        <f t="shared" si="61"/>
        <v>248</v>
      </c>
      <c r="F129" s="41">
        <f t="shared" si="61"/>
        <v>240</v>
      </c>
      <c r="G129" s="41">
        <f t="shared" si="61"/>
        <v>248</v>
      </c>
      <c r="H129" s="41">
        <f t="shared" si="61"/>
        <v>240</v>
      </c>
      <c r="I129" s="41">
        <f t="shared" si="61"/>
        <v>248</v>
      </c>
      <c r="J129" s="41">
        <f t="shared" si="61"/>
        <v>248</v>
      </c>
      <c r="K129" s="41">
        <f t="shared" si="61"/>
        <v>240</v>
      </c>
      <c r="L129" s="41">
        <f t="shared" si="61"/>
        <v>248</v>
      </c>
      <c r="M129" s="41">
        <f t="shared" si="61"/>
        <v>240</v>
      </c>
      <c r="N129" s="41">
        <f t="shared" si="61"/>
        <v>248</v>
      </c>
      <c r="O129" s="18">
        <f t="shared" si="60"/>
        <v>2928</v>
      </c>
    </row>
    <row r="130" spans="1:15" ht="15.75" thickBot="1" x14ac:dyDescent="0.3">
      <c r="A130" s="1"/>
      <c r="B130" s="8" t="s">
        <v>18</v>
      </c>
      <c r="C130" s="32">
        <v>83</v>
      </c>
      <c r="D130" s="21">
        <v>109</v>
      </c>
      <c r="E130" s="21">
        <v>134</v>
      </c>
      <c r="F130" s="3">
        <v>71</v>
      </c>
      <c r="G130" s="3">
        <v>133</v>
      </c>
      <c r="H130" s="3">
        <v>118</v>
      </c>
      <c r="I130" s="3">
        <v>119</v>
      </c>
      <c r="J130" s="3">
        <v>129</v>
      </c>
      <c r="K130" s="3">
        <v>97</v>
      </c>
      <c r="L130" s="3">
        <v>105</v>
      </c>
      <c r="M130" s="3">
        <v>88</v>
      </c>
      <c r="N130" s="33">
        <v>90</v>
      </c>
      <c r="O130" s="18">
        <f t="shared" si="60"/>
        <v>1276</v>
      </c>
    </row>
    <row r="131" spans="1:15" ht="15.75" thickBot="1" x14ac:dyDescent="0.3">
      <c r="A131" s="1"/>
      <c r="B131" s="8" t="s">
        <v>19</v>
      </c>
      <c r="C131" s="32">
        <v>88</v>
      </c>
      <c r="D131" s="21">
        <v>151</v>
      </c>
      <c r="E131" s="21">
        <v>171</v>
      </c>
      <c r="F131" s="3">
        <v>107</v>
      </c>
      <c r="G131" s="3">
        <v>150</v>
      </c>
      <c r="H131" s="3">
        <v>150</v>
      </c>
      <c r="I131" s="3">
        <v>137</v>
      </c>
      <c r="J131" s="3">
        <v>134</v>
      </c>
      <c r="K131" s="3">
        <v>100</v>
      </c>
      <c r="L131" s="3">
        <v>118</v>
      </c>
      <c r="M131" s="3">
        <v>101</v>
      </c>
      <c r="N131" s="33">
        <v>105</v>
      </c>
      <c r="O131" s="18">
        <f t="shared" si="60"/>
        <v>1512</v>
      </c>
    </row>
    <row r="132" spans="1:15" ht="15.75" thickBot="1" x14ac:dyDescent="0.3">
      <c r="A132" s="1"/>
      <c r="B132" s="9" t="s">
        <v>51</v>
      </c>
      <c r="C132" s="75">
        <v>135</v>
      </c>
      <c r="D132" s="76">
        <v>67</v>
      </c>
      <c r="E132" s="76">
        <v>65</v>
      </c>
      <c r="F132" s="77">
        <v>81</v>
      </c>
      <c r="G132" s="76">
        <v>78</v>
      </c>
      <c r="H132" s="76">
        <v>179</v>
      </c>
      <c r="I132" s="76">
        <v>69</v>
      </c>
      <c r="J132" s="76">
        <v>114</v>
      </c>
      <c r="K132" s="76">
        <v>71</v>
      </c>
      <c r="L132" s="76">
        <v>112</v>
      </c>
      <c r="M132" s="76">
        <v>33</v>
      </c>
      <c r="N132" s="78">
        <v>88</v>
      </c>
      <c r="O132" s="18">
        <f t="shared" si="60"/>
        <v>1092</v>
      </c>
    </row>
    <row r="133" spans="1:15" ht="15.75" thickBot="1" x14ac:dyDescent="0.3">
      <c r="A133" s="1"/>
      <c r="B133" s="38" t="s">
        <v>21</v>
      </c>
      <c r="C133" s="70">
        <f t="shared" ref="C133:O133" si="62">+IF(C128&gt;0,C130/C128,"")</f>
        <v>3.32</v>
      </c>
      <c r="D133" s="71">
        <f t="shared" si="62"/>
        <v>2.8684210526315788</v>
      </c>
      <c r="E133" s="71">
        <f t="shared" si="62"/>
        <v>3.1904761904761907</v>
      </c>
      <c r="F133" s="71">
        <f t="shared" si="62"/>
        <v>2.7307692307692308</v>
      </c>
      <c r="G133" s="71">
        <f t="shared" si="62"/>
        <v>3.6944444444444446</v>
      </c>
      <c r="H133" s="71">
        <f t="shared" si="62"/>
        <v>3.806451612903226</v>
      </c>
      <c r="I133" s="71">
        <f t="shared" si="62"/>
        <v>3.2162162162162162</v>
      </c>
      <c r="J133" s="71">
        <f t="shared" si="62"/>
        <v>3.3947368421052633</v>
      </c>
      <c r="K133" s="71">
        <f t="shared" si="62"/>
        <v>2.9393939393939394</v>
      </c>
      <c r="L133" s="71">
        <f t="shared" si="62"/>
        <v>2.9166666666666665</v>
      </c>
      <c r="M133" s="71">
        <f t="shared" si="62"/>
        <v>2.75</v>
      </c>
      <c r="N133" s="73">
        <f t="shared" si="62"/>
        <v>3.4615384615384617</v>
      </c>
      <c r="O133" s="47">
        <f t="shared" si="62"/>
        <v>3.19</v>
      </c>
    </row>
    <row r="134" spans="1:15" ht="15.75" thickBot="1" x14ac:dyDescent="0.3">
      <c r="A134" s="1"/>
      <c r="B134" s="38" t="s">
        <v>23</v>
      </c>
      <c r="C134" s="42">
        <f t="shared" ref="C134:N134" si="63">+IF(C128&gt;0,C128/C126,"")</f>
        <v>3.125</v>
      </c>
      <c r="D134" s="42">
        <f t="shared" si="63"/>
        <v>4.75</v>
      </c>
      <c r="E134" s="42">
        <f t="shared" si="63"/>
        <v>5.25</v>
      </c>
      <c r="F134" s="42">
        <f t="shared" si="63"/>
        <v>3.25</v>
      </c>
      <c r="G134" s="42">
        <f t="shared" si="63"/>
        <v>4.5</v>
      </c>
      <c r="H134" s="42">
        <f t="shared" si="63"/>
        <v>3.875</v>
      </c>
      <c r="I134" s="42">
        <f t="shared" si="63"/>
        <v>4.625</v>
      </c>
      <c r="J134" s="42">
        <f t="shared" si="63"/>
        <v>4.75</v>
      </c>
      <c r="K134" s="42">
        <f t="shared" si="63"/>
        <v>4.125</v>
      </c>
      <c r="L134" s="42">
        <f t="shared" si="63"/>
        <v>4.5</v>
      </c>
      <c r="M134" s="42">
        <f t="shared" si="63"/>
        <v>4</v>
      </c>
      <c r="N134" s="46">
        <f t="shared" si="63"/>
        <v>3.25</v>
      </c>
      <c r="O134" s="87">
        <f>+IF(O128&gt;0,AVERAGE(C128:N128)/O126,"")</f>
        <v>4.166666666666667</v>
      </c>
    </row>
    <row r="135" spans="1:15" ht="15.75" thickBot="1" x14ac:dyDescent="0.3">
      <c r="A135" s="1"/>
      <c r="B135" s="38" t="s">
        <v>24</v>
      </c>
      <c r="C135" s="42">
        <f t="shared" ref="C135:O135" si="64">+IF(C128&gt;0,(C129-C132)/C128,"")</f>
        <v>4.5199999999999996</v>
      </c>
      <c r="D135" s="42">
        <f t="shared" si="64"/>
        <v>4.3421052631578947</v>
      </c>
      <c r="E135" s="42">
        <f t="shared" si="64"/>
        <v>4.3571428571428568</v>
      </c>
      <c r="F135" s="42">
        <f t="shared" si="64"/>
        <v>6.115384615384615</v>
      </c>
      <c r="G135" s="42">
        <f t="shared" si="64"/>
        <v>4.7222222222222223</v>
      </c>
      <c r="H135" s="42">
        <f t="shared" si="64"/>
        <v>1.967741935483871</v>
      </c>
      <c r="I135" s="42">
        <f t="shared" si="64"/>
        <v>4.8378378378378377</v>
      </c>
      <c r="J135" s="42">
        <f t="shared" si="64"/>
        <v>3.5263157894736841</v>
      </c>
      <c r="K135" s="42">
        <f t="shared" si="64"/>
        <v>5.1212121212121211</v>
      </c>
      <c r="L135" s="42">
        <f t="shared" si="64"/>
        <v>3.7777777777777777</v>
      </c>
      <c r="M135" s="42">
        <f t="shared" si="64"/>
        <v>6.46875</v>
      </c>
      <c r="N135" s="42">
        <f t="shared" si="64"/>
        <v>6.1538461538461542</v>
      </c>
      <c r="O135" s="47">
        <f t="shared" si="64"/>
        <v>4.59</v>
      </c>
    </row>
    <row r="136" spans="1:15" ht="15.75" thickBot="1" x14ac:dyDescent="0.3">
      <c r="A136" s="1"/>
      <c r="B136" s="38" t="s">
        <v>25</v>
      </c>
      <c r="C136" s="42">
        <f t="shared" ref="C136:O136" si="65">+IF(C132&gt;0,(C132/C129)*100,"")</f>
        <v>54.435483870967737</v>
      </c>
      <c r="D136" s="42">
        <f t="shared" si="65"/>
        <v>28.879310344827587</v>
      </c>
      <c r="E136" s="42">
        <f t="shared" si="65"/>
        <v>26.209677419354836</v>
      </c>
      <c r="F136" s="42">
        <f t="shared" si="65"/>
        <v>33.75</v>
      </c>
      <c r="G136" s="42">
        <f t="shared" si="65"/>
        <v>31.451612903225808</v>
      </c>
      <c r="H136" s="42">
        <f t="shared" si="65"/>
        <v>74.583333333333329</v>
      </c>
      <c r="I136" s="42">
        <f t="shared" si="65"/>
        <v>27.822580645161288</v>
      </c>
      <c r="J136" s="42">
        <f t="shared" si="65"/>
        <v>45.967741935483872</v>
      </c>
      <c r="K136" s="42">
        <f t="shared" si="65"/>
        <v>29.583333333333332</v>
      </c>
      <c r="L136" s="42">
        <f t="shared" si="65"/>
        <v>45.161290322580641</v>
      </c>
      <c r="M136" s="42">
        <f t="shared" si="65"/>
        <v>13.750000000000002</v>
      </c>
      <c r="N136" s="46">
        <f t="shared" si="65"/>
        <v>35.483870967741936</v>
      </c>
      <c r="O136" s="47">
        <f t="shared" si="65"/>
        <v>37.295081967213115</v>
      </c>
    </row>
    <row r="137" spans="1:15" ht="15.75" thickBot="1" x14ac:dyDescent="0.3">
      <c r="A137" s="1"/>
      <c r="B137" s="8" t="s">
        <v>26</v>
      </c>
      <c r="C137" s="41">
        <f>+SUM(C138:C139)</f>
        <v>0</v>
      </c>
      <c r="D137" s="41">
        <f t="shared" ref="D137:N137" si="66">+SUM(D138:D139)</f>
        <v>0</v>
      </c>
      <c r="E137" s="41">
        <f t="shared" si="66"/>
        <v>0</v>
      </c>
      <c r="F137" s="41">
        <f t="shared" si="66"/>
        <v>0</v>
      </c>
      <c r="G137" s="41">
        <f t="shared" si="66"/>
        <v>0</v>
      </c>
      <c r="H137" s="41">
        <f t="shared" si="66"/>
        <v>0</v>
      </c>
      <c r="I137" s="41">
        <f t="shared" si="66"/>
        <v>0</v>
      </c>
      <c r="J137" s="41">
        <f t="shared" si="66"/>
        <v>0</v>
      </c>
      <c r="K137" s="41">
        <f t="shared" si="66"/>
        <v>0</v>
      </c>
      <c r="L137" s="41">
        <f t="shared" si="66"/>
        <v>0</v>
      </c>
      <c r="M137" s="41">
        <f t="shared" si="66"/>
        <v>0</v>
      </c>
      <c r="N137" s="41">
        <f t="shared" si="66"/>
        <v>0</v>
      </c>
      <c r="O137" s="18">
        <f>+SUM(C137:N137)</f>
        <v>0</v>
      </c>
    </row>
    <row r="138" spans="1:15" ht="15.75" thickBot="1" x14ac:dyDescent="0.3">
      <c r="A138" s="1"/>
      <c r="B138" s="8" t="s">
        <v>52</v>
      </c>
      <c r="C138" s="32">
        <v>0</v>
      </c>
      <c r="D138" s="21">
        <v>0</v>
      </c>
      <c r="E138" s="21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3">
        <v>0</v>
      </c>
      <c r="O138" s="18">
        <f>+SUM(C138:N138)</f>
        <v>0</v>
      </c>
    </row>
    <row r="139" spans="1:15" ht="15.75" thickBot="1" x14ac:dyDescent="0.3">
      <c r="A139" s="1"/>
      <c r="B139" s="8" t="s">
        <v>53</v>
      </c>
      <c r="C139" s="32">
        <v>0</v>
      </c>
      <c r="D139" s="21">
        <v>0</v>
      </c>
      <c r="E139" s="21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3">
        <v>0</v>
      </c>
      <c r="O139" s="18">
        <f>+SUM(C139:N139)</f>
        <v>0</v>
      </c>
    </row>
    <row r="140" spans="1:15" ht="15.75" thickBot="1" x14ac:dyDescent="0.3">
      <c r="A140" s="1"/>
      <c r="B140" s="15" t="s">
        <v>31</v>
      </c>
      <c r="C140" s="25">
        <v>0</v>
      </c>
      <c r="D140" s="25">
        <v>0</v>
      </c>
      <c r="E140" s="25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5">
        <v>0</v>
      </c>
      <c r="O140" s="28">
        <f>+SUM(C140:N140)</f>
        <v>0</v>
      </c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6.5" thickBot="1" x14ac:dyDescent="0.3">
      <c r="A143" s="1"/>
      <c r="B143" s="1"/>
      <c r="C143" s="199" t="s">
        <v>49</v>
      </c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199">
        <f>+[2]INICIO!M4</f>
        <v>2016</v>
      </c>
      <c r="O143" s="201"/>
    </row>
    <row r="144" spans="1:15" ht="15.75" thickBot="1" x14ac:dyDescent="0.3">
      <c r="A144" s="1"/>
      <c r="B144" s="7"/>
      <c r="C144" s="39">
        <v>31</v>
      </c>
      <c r="D144" s="39">
        <v>29</v>
      </c>
      <c r="E144" s="39">
        <v>31</v>
      </c>
      <c r="F144" s="39">
        <v>30</v>
      </c>
      <c r="G144" s="39">
        <v>31</v>
      </c>
      <c r="H144" s="39">
        <v>30</v>
      </c>
      <c r="I144" s="39">
        <v>31</v>
      </c>
      <c r="J144" s="39">
        <v>31</v>
      </c>
      <c r="K144" s="39">
        <v>30</v>
      </c>
      <c r="L144" s="39">
        <v>31</v>
      </c>
      <c r="M144" s="39">
        <v>30</v>
      </c>
      <c r="N144" s="39">
        <v>31</v>
      </c>
      <c r="O144" s="40">
        <v>31</v>
      </c>
    </row>
    <row r="145" spans="1:15" ht="15.75" thickBot="1" x14ac:dyDescent="0.3">
      <c r="A145" s="1"/>
      <c r="B145" s="10" t="s">
        <v>58</v>
      </c>
      <c r="C145" s="11" t="s">
        <v>1</v>
      </c>
      <c r="D145" s="12" t="s">
        <v>2</v>
      </c>
      <c r="E145" s="12" t="s">
        <v>3</v>
      </c>
      <c r="F145" s="12" t="s">
        <v>4</v>
      </c>
      <c r="G145" s="12" t="s">
        <v>5</v>
      </c>
      <c r="H145" s="12" t="s">
        <v>6</v>
      </c>
      <c r="I145" s="12" t="s">
        <v>7</v>
      </c>
      <c r="J145" s="12" t="s">
        <v>8</v>
      </c>
      <c r="K145" s="13" t="s">
        <v>9</v>
      </c>
      <c r="L145" s="13" t="s">
        <v>10</v>
      </c>
      <c r="M145" s="13" t="s">
        <v>11</v>
      </c>
      <c r="N145" s="13" t="s">
        <v>12</v>
      </c>
      <c r="O145" s="37" t="s">
        <v>13</v>
      </c>
    </row>
    <row r="146" spans="1:15" ht="15.75" thickBot="1" x14ac:dyDescent="0.3">
      <c r="A146" s="1"/>
      <c r="B146" s="8" t="s">
        <v>14</v>
      </c>
      <c r="C146" s="44">
        <v>31</v>
      </c>
      <c r="D146" s="44">
        <v>31</v>
      </c>
      <c r="E146" s="44">
        <v>31</v>
      </c>
      <c r="F146" s="44">
        <v>31</v>
      </c>
      <c r="G146" s="44">
        <v>31</v>
      </c>
      <c r="H146" s="44">
        <v>31</v>
      </c>
      <c r="I146" s="44">
        <v>31</v>
      </c>
      <c r="J146" s="44">
        <v>31</v>
      </c>
      <c r="K146" s="44">
        <v>31</v>
      </c>
      <c r="L146" s="44">
        <v>31</v>
      </c>
      <c r="M146" s="44">
        <v>31</v>
      </c>
      <c r="N146" s="48">
        <v>31</v>
      </c>
      <c r="O146" s="36">
        <f>+AVERAGE(C146:N146)</f>
        <v>31</v>
      </c>
    </row>
    <row r="147" spans="1:15" ht="15.75" thickBot="1" x14ac:dyDescent="0.3">
      <c r="A147" s="1"/>
      <c r="B147" s="8" t="s">
        <v>15</v>
      </c>
      <c r="C147" s="29">
        <v>418</v>
      </c>
      <c r="D147" s="30">
        <v>389</v>
      </c>
      <c r="E147" s="30">
        <v>390</v>
      </c>
      <c r="F147" s="30">
        <v>382</v>
      </c>
      <c r="G147" s="30">
        <v>415</v>
      </c>
      <c r="H147" s="30">
        <v>363</v>
      </c>
      <c r="I147" s="30">
        <v>343</v>
      </c>
      <c r="J147" s="30">
        <v>392</v>
      </c>
      <c r="K147" s="30">
        <v>381</v>
      </c>
      <c r="L147" s="30">
        <v>367</v>
      </c>
      <c r="M147" s="30">
        <v>335</v>
      </c>
      <c r="N147" s="31">
        <v>347</v>
      </c>
      <c r="O147" s="18">
        <f t="shared" ref="O147:O152" si="67">+SUM(C147:N147)</f>
        <v>4522</v>
      </c>
    </row>
    <row r="148" spans="1:15" ht="15.75" thickBot="1" x14ac:dyDescent="0.3">
      <c r="A148" s="1"/>
      <c r="B148" s="8" t="s">
        <v>16</v>
      </c>
      <c r="C148" s="29">
        <v>403</v>
      </c>
      <c r="D148" s="30">
        <v>374</v>
      </c>
      <c r="E148" s="30">
        <v>395</v>
      </c>
      <c r="F148" s="30">
        <v>393</v>
      </c>
      <c r="G148" s="30">
        <v>401</v>
      </c>
      <c r="H148" s="30">
        <v>368</v>
      </c>
      <c r="I148" s="30">
        <v>345</v>
      </c>
      <c r="J148" s="30">
        <v>390</v>
      </c>
      <c r="K148" s="30">
        <v>379</v>
      </c>
      <c r="L148" s="30">
        <v>356</v>
      </c>
      <c r="M148" s="30">
        <v>335</v>
      </c>
      <c r="N148" s="31">
        <v>356</v>
      </c>
      <c r="O148" s="18">
        <f t="shared" si="67"/>
        <v>4495</v>
      </c>
    </row>
    <row r="149" spans="1:15" ht="15.75" thickBot="1" x14ac:dyDescent="0.3">
      <c r="A149" s="1"/>
      <c r="B149" s="8" t="s">
        <v>17</v>
      </c>
      <c r="C149" s="44">
        <f>+C144*C146</f>
        <v>961</v>
      </c>
      <c r="D149" s="44">
        <f t="shared" ref="D149:N149" si="68">+D144*D146</f>
        <v>899</v>
      </c>
      <c r="E149" s="44">
        <f t="shared" si="68"/>
        <v>961</v>
      </c>
      <c r="F149" s="44">
        <f t="shared" si="68"/>
        <v>930</v>
      </c>
      <c r="G149" s="44">
        <f t="shared" si="68"/>
        <v>961</v>
      </c>
      <c r="H149" s="44">
        <f t="shared" si="68"/>
        <v>930</v>
      </c>
      <c r="I149" s="44">
        <f t="shared" si="68"/>
        <v>961</v>
      </c>
      <c r="J149" s="44">
        <f t="shared" si="68"/>
        <v>961</v>
      </c>
      <c r="K149" s="44">
        <f t="shared" si="68"/>
        <v>930</v>
      </c>
      <c r="L149" s="44">
        <f t="shared" si="68"/>
        <v>961</v>
      </c>
      <c r="M149" s="44">
        <f t="shared" si="68"/>
        <v>930</v>
      </c>
      <c r="N149" s="44">
        <f t="shared" si="68"/>
        <v>961</v>
      </c>
      <c r="O149" s="18">
        <f t="shared" si="67"/>
        <v>11346</v>
      </c>
    </row>
    <row r="150" spans="1:15" ht="15.75" thickBot="1" x14ac:dyDescent="0.3">
      <c r="A150" s="1"/>
      <c r="B150" s="8" t="s">
        <v>18</v>
      </c>
      <c r="C150" s="29">
        <v>719</v>
      </c>
      <c r="D150" s="30">
        <v>657</v>
      </c>
      <c r="E150" s="30">
        <v>699</v>
      </c>
      <c r="F150" s="30">
        <v>763</v>
      </c>
      <c r="G150" s="30">
        <v>847</v>
      </c>
      <c r="H150" s="30">
        <v>730</v>
      </c>
      <c r="I150" s="30">
        <v>706</v>
      </c>
      <c r="J150" s="30">
        <v>734</v>
      </c>
      <c r="K150" s="30">
        <v>670</v>
      </c>
      <c r="L150" s="30">
        <v>670</v>
      </c>
      <c r="M150" s="30">
        <v>606</v>
      </c>
      <c r="N150" s="31">
        <v>625</v>
      </c>
      <c r="O150" s="18">
        <f t="shared" si="67"/>
        <v>8426</v>
      </c>
    </row>
    <row r="151" spans="1:15" ht="15.75" thickBot="1" x14ac:dyDescent="0.3">
      <c r="A151" s="1"/>
      <c r="B151" s="8" t="s">
        <v>19</v>
      </c>
      <c r="C151" s="29">
        <v>758</v>
      </c>
      <c r="D151" s="30">
        <v>713</v>
      </c>
      <c r="E151" s="30">
        <v>778</v>
      </c>
      <c r="F151" s="30">
        <v>865</v>
      </c>
      <c r="G151" s="30">
        <v>872</v>
      </c>
      <c r="H151" s="30">
        <v>774</v>
      </c>
      <c r="I151" s="30">
        <v>766</v>
      </c>
      <c r="J151" s="30">
        <v>756</v>
      </c>
      <c r="K151" s="30">
        <v>718</v>
      </c>
      <c r="L151" s="30">
        <v>728</v>
      </c>
      <c r="M151" s="30">
        <v>676</v>
      </c>
      <c r="N151" s="31">
        <v>737</v>
      </c>
      <c r="O151" s="18">
        <f t="shared" si="67"/>
        <v>9141</v>
      </c>
    </row>
    <row r="152" spans="1:15" ht="15.75" thickBot="1" x14ac:dyDescent="0.3">
      <c r="A152" s="1"/>
      <c r="B152" s="8" t="s">
        <v>59</v>
      </c>
      <c r="C152" s="80">
        <v>804</v>
      </c>
      <c r="D152" s="81">
        <v>932</v>
      </c>
      <c r="E152" s="81">
        <v>1317</v>
      </c>
      <c r="F152" s="81">
        <v>973</v>
      </c>
      <c r="G152" s="81">
        <v>1137</v>
      </c>
      <c r="H152" s="81">
        <v>640</v>
      </c>
      <c r="I152" s="81">
        <v>707</v>
      </c>
      <c r="J152" s="81">
        <v>894</v>
      </c>
      <c r="K152" s="81">
        <v>830</v>
      </c>
      <c r="L152" s="81">
        <v>1002</v>
      </c>
      <c r="M152" s="81">
        <v>992</v>
      </c>
      <c r="N152" s="82">
        <v>969</v>
      </c>
      <c r="O152" s="18">
        <f t="shared" si="67"/>
        <v>11197</v>
      </c>
    </row>
    <row r="153" spans="1:15" ht="15.75" thickBot="1" x14ac:dyDescent="0.3">
      <c r="A153" s="1"/>
      <c r="B153" s="38" t="s">
        <v>21</v>
      </c>
      <c r="C153" s="70">
        <f t="shared" ref="C153:O153" si="69">+IF(C148&gt;0,C150/C148,"")</f>
        <v>1.7841191066997519</v>
      </c>
      <c r="D153" s="71">
        <f t="shared" si="69"/>
        <v>1.7566844919786095</v>
      </c>
      <c r="E153" s="71">
        <f t="shared" si="69"/>
        <v>1.7696202531645571</v>
      </c>
      <c r="F153" s="71">
        <f t="shared" si="69"/>
        <v>1.9414758269720103</v>
      </c>
      <c r="G153" s="71">
        <f t="shared" si="69"/>
        <v>2.1122194513715709</v>
      </c>
      <c r="H153" s="71">
        <f t="shared" si="69"/>
        <v>1.9836956521739131</v>
      </c>
      <c r="I153" s="71">
        <f t="shared" si="69"/>
        <v>2.0463768115942029</v>
      </c>
      <c r="J153" s="71">
        <f t="shared" si="69"/>
        <v>1.882051282051282</v>
      </c>
      <c r="K153" s="71">
        <f t="shared" si="69"/>
        <v>1.7678100263852243</v>
      </c>
      <c r="L153" s="71">
        <f t="shared" si="69"/>
        <v>1.8820224719101124</v>
      </c>
      <c r="M153" s="71">
        <f t="shared" si="69"/>
        <v>1.808955223880597</v>
      </c>
      <c r="N153" s="73">
        <f t="shared" si="69"/>
        <v>1.7556179775280898</v>
      </c>
      <c r="O153" s="47">
        <f t="shared" si="69"/>
        <v>1.874527252502781</v>
      </c>
    </row>
    <row r="154" spans="1:15" ht="15.75" thickBot="1" x14ac:dyDescent="0.3">
      <c r="A154" s="1"/>
      <c r="B154" s="38" t="s">
        <v>23</v>
      </c>
      <c r="C154" s="42">
        <f t="shared" ref="C154:N154" si="70">+IF(C148&gt;0,C148/C146,"")</f>
        <v>13</v>
      </c>
      <c r="D154" s="42">
        <f t="shared" si="70"/>
        <v>12.064516129032258</v>
      </c>
      <c r="E154" s="42">
        <f t="shared" si="70"/>
        <v>12.741935483870968</v>
      </c>
      <c r="F154" s="42">
        <f t="shared" si="70"/>
        <v>12.67741935483871</v>
      </c>
      <c r="G154" s="42">
        <f t="shared" si="70"/>
        <v>12.935483870967742</v>
      </c>
      <c r="H154" s="42">
        <f t="shared" si="70"/>
        <v>11.870967741935484</v>
      </c>
      <c r="I154" s="42">
        <f t="shared" si="70"/>
        <v>11.129032258064516</v>
      </c>
      <c r="J154" s="42">
        <f t="shared" si="70"/>
        <v>12.580645161290322</v>
      </c>
      <c r="K154" s="42">
        <f t="shared" si="70"/>
        <v>12.225806451612904</v>
      </c>
      <c r="L154" s="42">
        <f t="shared" si="70"/>
        <v>11.483870967741936</v>
      </c>
      <c r="M154" s="42">
        <f t="shared" si="70"/>
        <v>10.806451612903226</v>
      </c>
      <c r="N154" s="46">
        <f t="shared" si="70"/>
        <v>11.483870967741936</v>
      </c>
      <c r="O154" s="87">
        <f>+IF(O148&gt;0,AVERAGE(C148:N148)/O146,"")</f>
        <v>12.083333333333332</v>
      </c>
    </row>
    <row r="155" spans="1:15" ht="15.75" thickBot="1" x14ac:dyDescent="0.3">
      <c r="A155" s="1"/>
      <c r="B155" s="38" t="s">
        <v>24</v>
      </c>
      <c r="C155" s="42">
        <f t="shared" ref="C155:O155" si="71">+IF(C148&gt;0,(C149-C152)/C148,"")</f>
        <v>0.38957816377171217</v>
      </c>
      <c r="D155" s="42">
        <f t="shared" si="71"/>
        <v>-8.8235294117647065E-2</v>
      </c>
      <c r="E155" s="42">
        <f t="shared" si="71"/>
        <v>-0.90126582278481016</v>
      </c>
      <c r="F155" s="42">
        <f t="shared" si="71"/>
        <v>-0.10941475826972011</v>
      </c>
      <c r="G155" s="42">
        <f t="shared" si="71"/>
        <v>-0.43890274314214461</v>
      </c>
      <c r="H155" s="42">
        <f t="shared" si="71"/>
        <v>0.78804347826086951</v>
      </c>
      <c r="I155" s="42">
        <f t="shared" si="71"/>
        <v>0.73623188405797102</v>
      </c>
      <c r="J155" s="42">
        <f t="shared" si="71"/>
        <v>0.1717948717948718</v>
      </c>
      <c r="K155" s="42">
        <f t="shared" si="71"/>
        <v>0.26385224274406333</v>
      </c>
      <c r="L155" s="42">
        <f t="shared" si="71"/>
        <v>-0.1151685393258427</v>
      </c>
      <c r="M155" s="42">
        <f t="shared" si="71"/>
        <v>-0.18507462686567164</v>
      </c>
      <c r="N155" s="42">
        <f t="shared" si="71"/>
        <v>-2.247191011235955E-2</v>
      </c>
      <c r="O155" s="47">
        <f t="shared" si="71"/>
        <v>3.3147942157953282E-2</v>
      </c>
    </row>
    <row r="156" spans="1:15" ht="15.75" thickBot="1" x14ac:dyDescent="0.3">
      <c r="A156" s="1"/>
      <c r="B156" s="38" t="s">
        <v>25</v>
      </c>
      <c r="C156" s="42">
        <f t="shared" ref="C156:O156" si="72">+IF(C152&gt;0,(C152/C149)*100,"")</f>
        <v>83.662851196670147</v>
      </c>
      <c r="D156" s="42">
        <f t="shared" si="72"/>
        <v>103.67074527252502</v>
      </c>
      <c r="E156" s="42">
        <f t="shared" si="72"/>
        <v>137.04474505723206</v>
      </c>
      <c r="F156" s="42">
        <f t="shared" si="72"/>
        <v>104.62365591397848</v>
      </c>
      <c r="G156" s="42">
        <f t="shared" si="72"/>
        <v>118.31425598335068</v>
      </c>
      <c r="H156" s="42">
        <f t="shared" si="72"/>
        <v>68.817204301075279</v>
      </c>
      <c r="I156" s="42">
        <f t="shared" si="72"/>
        <v>73.569198751300718</v>
      </c>
      <c r="J156" s="42">
        <f t="shared" si="72"/>
        <v>93.028095733610826</v>
      </c>
      <c r="K156" s="42">
        <f t="shared" si="72"/>
        <v>89.247311827956992</v>
      </c>
      <c r="L156" s="42">
        <f t="shared" si="72"/>
        <v>104.26638917793964</v>
      </c>
      <c r="M156" s="42">
        <f t="shared" si="72"/>
        <v>106.66666666666667</v>
      </c>
      <c r="N156" s="46">
        <f t="shared" si="72"/>
        <v>100.83246618106139</v>
      </c>
      <c r="O156" s="47">
        <f t="shared" si="72"/>
        <v>98.686761854398029</v>
      </c>
    </row>
    <row r="157" spans="1:15" ht="15.75" thickBot="1" x14ac:dyDescent="0.3">
      <c r="A157" s="1"/>
      <c r="B157" s="8" t="s">
        <v>26</v>
      </c>
      <c r="C157" s="98">
        <f>+SUM(C158:C159)</f>
        <v>0</v>
      </c>
      <c r="D157" s="44">
        <f t="shared" ref="D157:N157" si="73">+SUM(D158:D159)</f>
        <v>0</v>
      </c>
      <c r="E157" s="44">
        <f t="shared" si="73"/>
        <v>0</v>
      </c>
      <c r="F157" s="44">
        <f t="shared" si="73"/>
        <v>0</v>
      </c>
      <c r="G157" s="44">
        <f t="shared" si="73"/>
        <v>0</v>
      </c>
      <c r="H157" s="44">
        <f t="shared" si="73"/>
        <v>0</v>
      </c>
      <c r="I157" s="44">
        <f t="shared" si="73"/>
        <v>0</v>
      </c>
      <c r="J157" s="44">
        <f t="shared" si="73"/>
        <v>0</v>
      </c>
      <c r="K157" s="44">
        <f t="shared" si="73"/>
        <v>0</v>
      </c>
      <c r="L157" s="44">
        <f t="shared" si="73"/>
        <v>0</v>
      </c>
      <c r="M157" s="44">
        <f t="shared" si="73"/>
        <v>0</v>
      </c>
      <c r="N157" s="48">
        <f t="shared" si="73"/>
        <v>0</v>
      </c>
      <c r="O157" s="16">
        <f t="shared" ref="O157:O173" si="74">+SUM(C157:N157)</f>
        <v>0</v>
      </c>
    </row>
    <row r="158" spans="1:15" ht="15.75" thickBot="1" x14ac:dyDescent="0.3">
      <c r="A158" s="1"/>
      <c r="B158" s="8" t="s">
        <v>27</v>
      </c>
      <c r="C158" s="49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6">
        <v>0</v>
      </c>
      <c r="O158" s="16">
        <f t="shared" si="74"/>
        <v>0</v>
      </c>
    </row>
    <row r="159" spans="1:15" ht="15.75" thickBot="1" x14ac:dyDescent="0.3">
      <c r="A159" s="1"/>
      <c r="B159" s="8" t="s">
        <v>28</v>
      </c>
      <c r="C159" s="49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6">
        <v>0</v>
      </c>
      <c r="O159" s="16">
        <f t="shared" si="74"/>
        <v>0</v>
      </c>
    </row>
    <row r="160" spans="1:15" ht="15.75" thickBot="1" x14ac:dyDescent="0.3">
      <c r="A160" s="1"/>
      <c r="B160" s="8" t="s">
        <v>31</v>
      </c>
      <c r="C160" s="49">
        <v>1</v>
      </c>
      <c r="D160" s="50">
        <v>0</v>
      </c>
      <c r="E160" s="50">
        <v>3</v>
      </c>
      <c r="F160" s="50">
        <v>1</v>
      </c>
      <c r="G160" s="50">
        <v>1</v>
      </c>
      <c r="H160" s="50">
        <v>1</v>
      </c>
      <c r="I160" s="50">
        <v>2</v>
      </c>
      <c r="J160" s="50">
        <v>4</v>
      </c>
      <c r="K160" s="50">
        <v>1</v>
      </c>
      <c r="L160" s="50">
        <v>1</v>
      </c>
      <c r="M160" s="50">
        <v>4</v>
      </c>
      <c r="N160" s="56">
        <v>1</v>
      </c>
      <c r="O160" s="16">
        <f t="shared" si="74"/>
        <v>20</v>
      </c>
    </row>
    <row r="161" spans="1:15" ht="15.75" thickBot="1" x14ac:dyDescent="0.3">
      <c r="A161" s="1"/>
      <c r="B161" s="8" t="s">
        <v>60</v>
      </c>
      <c r="C161" s="49">
        <v>262</v>
      </c>
      <c r="D161" s="50">
        <v>275</v>
      </c>
      <c r="E161" s="50">
        <v>266</v>
      </c>
      <c r="F161" s="50">
        <v>279</v>
      </c>
      <c r="G161" s="50">
        <v>290</v>
      </c>
      <c r="H161" s="50">
        <v>261</v>
      </c>
      <c r="I161" s="50">
        <v>242</v>
      </c>
      <c r="J161" s="50">
        <v>261</v>
      </c>
      <c r="K161" s="50">
        <v>261</v>
      </c>
      <c r="L161" s="50">
        <v>240</v>
      </c>
      <c r="M161" s="50">
        <v>242</v>
      </c>
      <c r="N161" s="56">
        <v>230</v>
      </c>
      <c r="O161" s="16">
        <f t="shared" si="74"/>
        <v>3109</v>
      </c>
    </row>
    <row r="162" spans="1:15" ht="15.75" thickBot="1" x14ac:dyDescent="0.3">
      <c r="A162" s="1"/>
      <c r="B162" s="8" t="s">
        <v>34</v>
      </c>
      <c r="C162" s="49">
        <v>254</v>
      </c>
      <c r="D162" s="50">
        <v>272</v>
      </c>
      <c r="E162" s="50">
        <v>263</v>
      </c>
      <c r="F162" s="50">
        <v>279</v>
      </c>
      <c r="G162" s="50">
        <v>290</v>
      </c>
      <c r="H162" s="50">
        <v>261</v>
      </c>
      <c r="I162" s="50">
        <v>242</v>
      </c>
      <c r="J162" s="50">
        <v>262</v>
      </c>
      <c r="K162" s="50">
        <v>262</v>
      </c>
      <c r="L162" s="50">
        <v>238</v>
      </c>
      <c r="M162" s="50">
        <v>242</v>
      </c>
      <c r="N162" s="56">
        <v>229</v>
      </c>
      <c r="O162" s="16">
        <f t="shared" si="74"/>
        <v>3094</v>
      </c>
    </row>
    <row r="163" spans="1:15" ht="15.75" thickBot="1" x14ac:dyDescent="0.3">
      <c r="A163" s="1"/>
      <c r="B163" s="8" t="s">
        <v>35</v>
      </c>
      <c r="C163" s="49">
        <v>66</v>
      </c>
      <c r="D163" s="50">
        <v>56</v>
      </c>
      <c r="E163" s="50">
        <v>51</v>
      </c>
      <c r="F163" s="50">
        <v>53</v>
      </c>
      <c r="G163" s="50">
        <v>54</v>
      </c>
      <c r="H163" s="50">
        <v>46</v>
      </c>
      <c r="I163" s="50">
        <v>52</v>
      </c>
      <c r="J163" s="50">
        <v>52</v>
      </c>
      <c r="K163" s="50">
        <v>55</v>
      </c>
      <c r="L163" s="50">
        <v>46</v>
      </c>
      <c r="M163" s="50">
        <v>51</v>
      </c>
      <c r="N163" s="56">
        <v>67</v>
      </c>
      <c r="O163" s="16">
        <f t="shared" si="74"/>
        <v>649</v>
      </c>
    </row>
    <row r="164" spans="1:15" ht="15.75" thickBot="1" x14ac:dyDescent="0.3">
      <c r="A164" s="1"/>
      <c r="B164" s="8" t="s">
        <v>36</v>
      </c>
      <c r="C164" s="49">
        <v>117</v>
      </c>
      <c r="D164" s="50">
        <v>111</v>
      </c>
      <c r="E164" s="50">
        <v>106</v>
      </c>
      <c r="F164" s="50">
        <v>99</v>
      </c>
      <c r="G164" s="50">
        <v>76</v>
      </c>
      <c r="H164" s="50">
        <v>96</v>
      </c>
      <c r="I164" s="50">
        <v>103</v>
      </c>
      <c r="J164" s="50">
        <v>94</v>
      </c>
      <c r="K164" s="50">
        <v>94</v>
      </c>
      <c r="L164" s="50">
        <v>94</v>
      </c>
      <c r="M164" s="50">
        <v>92</v>
      </c>
      <c r="N164" s="56">
        <v>77</v>
      </c>
      <c r="O164" s="16">
        <f t="shared" si="74"/>
        <v>1159</v>
      </c>
    </row>
    <row r="165" spans="1:15" ht="15.75" thickBot="1" x14ac:dyDescent="0.3">
      <c r="A165" s="1"/>
      <c r="B165" s="8" t="s">
        <v>37</v>
      </c>
      <c r="C165" s="49">
        <v>64</v>
      </c>
      <c r="D165" s="50">
        <v>56</v>
      </c>
      <c r="E165" s="50">
        <v>51</v>
      </c>
      <c r="F165" s="50">
        <v>53</v>
      </c>
      <c r="G165" s="50">
        <v>54</v>
      </c>
      <c r="H165" s="50">
        <v>53</v>
      </c>
      <c r="I165" s="50">
        <v>52</v>
      </c>
      <c r="J165" s="50">
        <v>52</v>
      </c>
      <c r="K165" s="50">
        <v>55</v>
      </c>
      <c r="L165" s="50">
        <v>46</v>
      </c>
      <c r="M165" s="50">
        <v>51</v>
      </c>
      <c r="N165" s="56">
        <v>67</v>
      </c>
      <c r="O165" s="16">
        <f t="shared" si="74"/>
        <v>654</v>
      </c>
    </row>
    <row r="166" spans="1:15" ht="15.75" thickBot="1" x14ac:dyDescent="0.3">
      <c r="A166" s="1"/>
      <c r="B166" s="8" t="s">
        <v>38</v>
      </c>
      <c r="C166" s="51">
        <v>2</v>
      </c>
      <c r="D166" s="23">
        <v>0</v>
      </c>
      <c r="E166" s="23">
        <v>0</v>
      </c>
      <c r="F166" s="52">
        <v>0</v>
      </c>
      <c r="G166" s="52">
        <v>0</v>
      </c>
      <c r="H166" s="52">
        <v>0</v>
      </c>
      <c r="I166" s="52">
        <v>7</v>
      </c>
      <c r="J166" s="52">
        <v>7</v>
      </c>
      <c r="K166" s="52">
        <v>6</v>
      </c>
      <c r="L166" s="52">
        <v>6</v>
      </c>
      <c r="M166" s="52">
        <v>5</v>
      </c>
      <c r="N166" s="57">
        <v>0</v>
      </c>
      <c r="O166" s="16">
        <f t="shared" si="74"/>
        <v>33</v>
      </c>
    </row>
    <row r="167" spans="1:15" ht="15.75" thickBot="1" x14ac:dyDescent="0.3">
      <c r="A167" s="1"/>
      <c r="B167" s="8" t="s">
        <v>39</v>
      </c>
      <c r="C167" s="51">
        <v>6</v>
      </c>
      <c r="D167" s="23">
        <v>7</v>
      </c>
      <c r="E167" s="23">
        <v>9</v>
      </c>
      <c r="F167" s="52">
        <v>3</v>
      </c>
      <c r="G167" s="52">
        <v>7</v>
      </c>
      <c r="H167" s="52">
        <v>5</v>
      </c>
      <c r="I167" s="52">
        <v>8</v>
      </c>
      <c r="J167" s="52">
        <v>6</v>
      </c>
      <c r="K167" s="52">
        <v>4</v>
      </c>
      <c r="L167" s="52">
        <v>4</v>
      </c>
      <c r="M167" s="52">
        <v>4</v>
      </c>
      <c r="N167" s="57">
        <v>3</v>
      </c>
      <c r="O167" s="16">
        <f t="shared" si="74"/>
        <v>66</v>
      </c>
    </row>
    <row r="168" spans="1:15" ht="15.75" thickBot="1" x14ac:dyDescent="0.3">
      <c r="A168" s="1"/>
      <c r="B168" s="8" t="s">
        <v>40</v>
      </c>
      <c r="C168" s="51">
        <v>145</v>
      </c>
      <c r="D168" s="23">
        <v>164</v>
      </c>
      <c r="E168" s="23">
        <v>160</v>
      </c>
      <c r="F168" s="52">
        <v>180</v>
      </c>
      <c r="G168" s="52">
        <v>214</v>
      </c>
      <c r="H168" s="52">
        <v>165</v>
      </c>
      <c r="I168" s="52">
        <v>131</v>
      </c>
      <c r="J168" s="52">
        <v>161</v>
      </c>
      <c r="K168" s="52">
        <v>163</v>
      </c>
      <c r="L168" s="52">
        <v>144</v>
      </c>
      <c r="M168" s="52">
        <v>146</v>
      </c>
      <c r="N168" s="57">
        <v>150</v>
      </c>
      <c r="O168" s="16">
        <f t="shared" si="74"/>
        <v>1923</v>
      </c>
    </row>
    <row r="169" spans="1:15" ht="15.75" thickBot="1" x14ac:dyDescent="0.3">
      <c r="A169" s="1"/>
      <c r="B169" s="8" t="s">
        <v>41</v>
      </c>
      <c r="C169" s="51">
        <v>0</v>
      </c>
      <c r="D169" s="23">
        <v>0</v>
      </c>
      <c r="E169" s="23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1</v>
      </c>
      <c r="L169" s="52">
        <v>0</v>
      </c>
      <c r="M169" s="52">
        <v>0</v>
      </c>
      <c r="N169" s="57">
        <v>0</v>
      </c>
      <c r="O169" s="16">
        <f t="shared" si="74"/>
        <v>1</v>
      </c>
    </row>
    <row r="170" spans="1:15" ht="15.75" thickBot="1" x14ac:dyDescent="0.3">
      <c r="A170" s="1"/>
      <c r="B170" s="8" t="s">
        <v>42</v>
      </c>
      <c r="C170" s="53">
        <v>17</v>
      </c>
      <c r="D170" s="52">
        <v>17</v>
      </c>
      <c r="E170" s="52">
        <v>23</v>
      </c>
      <c r="F170" s="52">
        <v>21</v>
      </c>
      <c r="G170" s="52">
        <v>29</v>
      </c>
      <c r="H170" s="52">
        <v>13</v>
      </c>
      <c r="I170" s="52">
        <v>18</v>
      </c>
      <c r="J170" s="52">
        <v>27</v>
      </c>
      <c r="K170" s="52">
        <v>20</v>
      </c>
      <c r="L170" s="52">
        <v>19</v>
      </c>
      <c r="M170" s="52">
        <v>14</v>
      </c>
      <c r="N170" s="57">
        <v>11</v>
      </c>
      <c r="O170" s="16">
        <f t="shared" si="74"/>
        <v>229</v>
      </c>
    </row>
    <row r="171" spans="1:15" ht="15.75" thickBot="1" x14ac:dyDescent="0.3">
      <c r="A171" s="1"/>
      <c r="B171" s="8" t="s">
        <v>43</v>
      </c>
      <c r="C171" s="53">
        <v>1</v>
      </c>
      <c r="D171" s="52">
        <v>1</v>
      </c>
      <c r="E171" s="52">
        <v>1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2">
        <v>0</v>
      </c>
      <c r="M171" s="52">
        <v>0</v>
      </c>
      <c r="N171" s="57">
        <v>0</v>
      </c>
      <c r="O171" s="16">
        <f t="shared" si="74"/>
        <v>3</v>
      </c>
    </row>
    <row r="172" spans="1:15" ht="15.75" thickBot="1" x14ac:dyDescent="0.3">
      <c r="A172" s="1"/>
      <c r="B172" s="9" t="s">
        <v>44</v>
      </c>
      <c r="C172" s="53">
        <v>2</v>
      </c>
      <c r="D172" s="52">
        <v>0</v>
      </c>
      <c r="E172" s="52">
        <v>0</v>
      </c>
      <c r="F172" s="52">
        <v>0</v>
      </c>
      <c r="G172" s="52">
        <v>3</v>
      </c>
      <c r="H172" s="52">
        <v>4</v>
      </c>
      <c r="I172" s="52">
        <v>2</v>
      </c>
      <c r="J172" s="52">
        <v>0</v>
      </c>
      <c r="K172" s="52">
        <v>1</v>
      </c>
      <c r="L172" s="52">
        <v>0</v>
      </c>
      <c r="M172" s="52">
        <v>5</v>
      </c>
      <c r="N172" s="57">
        <v>3</v>
      </c>
      <c r="O172" s="16">
        <f t="shared" si="74"/>
        <v>20</v>
      </c>
    </row>
    <row r="173" spans="1:15" ht="15.75" thickBot="1" x14ac:dyDescent="0.3">
      <c r="A173" s="1"/>
      <c r="B173" s="8" t="s">
        <v>45</v>
      </c>
      <c r="C173" s="54">
        <v>0</v>
      </c>
      <c r="D173" s="54">
        <v>0</v>
      </c>
      <c r="E173" s="54">
        <v>0</v>
      </c>
      <c r="F173" s="55">
        <v>0</v>
      </c>
      <c r="G173" s="55">
        <v>1</v>
      </c>
      <c r="H173" s="55">
        <v>0</v>
      </c>
      <c r="I173" s="55">
        <v>0</v>
      </c>
      <c r="J173" s="55">
        <v>0</v>
      </c>
      <c r="K173" s="55">
        <v>1</v>
      </c>
      <c r="L173" s="55">
        <v>0</v>
      </c>
      <c r="M173" s="55">
        <v>2</v>
      </c>
      <c r="N173" s="58">
        <v>0</v>
      </c>
      <c r="O173" s="17">
        <f t="shared" si="74"/>
        <v>4</v>
      </c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6.5" thickBot="1" x14ac:dyDescent="0.3">
      <c r="A176" s="1"/>
      <c r="B176" s="1"/>
      <c r="C176" s="199" t="s">
        <v>49</v>
      </c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199">
        <f>+[2]INICIO!M4</f>
        <v>2016</v>
      </c>
      <c r="O176" s="201"/>
    </row>
    <row r="177" spans="1:15" ht="15.75" thickBot="1" x14ac:dyDescent="0.3">
      <c r="A177" s="1"/>
      <c r="B177" s="7"/>
      <c r="C177" s="39">
        <v>31</v>
      </c>
      <c r="D177" s="39">
        <v>29</v>
      </c>
      <c r="E177" s="39">
        <v>31</v>
      </c>
      <c r="F177" s="39">
        <v>30</v>
      </c>
      <c r="G177" s="39">
        <v>31</v>
      </c>
      <c r="H177" s="39">
        <v>30</v>
      </c>
      <c r="I177" s="39">
        <v>31</v>
      </c>
      <c r="J177" s="39">
        <v>31</v>
      </c>
      <c r="K177" s="39">
        <v>30</v>
      </c>
      <c r="L177" s="39">
        <v>31</v>
      </c>
      <c r="M177" s="39">
        <v>30</v>
      </c>
      <c r="N177" s="39">
        <v>31</v>
      </c>
      <c r="O177" s="40">
        <v>6</v>
      </c>
    </row>
    <row r="178" spans="1:15" ht="15.75" thickBot="1" x14ac:dyDescent="0.3">
      <c r="A178" s="1"/>
      <c r="B178" s="10" t="s">
        <v>62</v>
      </c>
      <c r="C178" s="11" t="s">
        <v>1</v>
      </c>
      <c r="D178" s="12" t="s">
        <v>2</v>
      </c>
      <c r="E178" s="12" t="s">
        <v>3</v>
      </c>
      <c r="F178" s="12" t="s">
        <v>4</v>
      </c>
      <c r="G178" s="12" t="s">
        <v>5</v>
      </c>
      <c r="H178" s="12" t="s">
        <v>6</v>
      </c>
      <c r="I178" s="12" t="s">
        <v>7</v>
      </c>
      <c r="J178" s="12" t="s">
        <v>8</v>
      </c>
      <c r="K178" s="13" t="s">
        <v>9</v>
      </c>
      <c r="L178" s="13" t="s">
        <v>10</v>
      </c>
      <c r="M178" s="13" t="s">
        <v>11</v>
      </c>
      <c r="N178" s="13" t="s">
        <v>12</v>
      </c>
      <c r="O178" s="14" t="s">
        <v>13</v>
      </c>
    </row>
    <row r="179" spans="1:15" ht="15.75" thickBot="1" x14ac:dyDescent="0.3">
      <c r="A179" s="1"/>
      <c r="B179" s="8" t="s">
        <v>14</v>
      </c>
      <c r="C179" s="44">
        <v>6</v>
      </c>
      <c r="D179" s="44">
        <v>6</v>
      </c>
      <c r="E179" s="44">
        <v>6</v>
      </c>
      <c r="F179" s="44">
        <v>6</v>
      </c>
      <c r="G179" s="44">
        <v>6</v>
      </c>
      <c r="H179" s="44">
        <v>9</v>
      </c>
      <c r="I179" s="44">
        <v>9</v>
      </c>
      <c r="J179" s="44">
        <v>9</v>
      </c>
      <c r="K179" s="44">
        <v>9</v>
      </c>
      <c r="L179" s="44">
        <v>9</v>
      </c>
      <c r="M179" s="44">
        <v>9</v>
      </c>
      <c r="N179" s="44">
        <v>9</v>
      </c>
      <c r="O179" s="36">
        <f>+AVERAGE(C179:N179)</f>
        <v>7.75</v>
      </c>
    </row>
    <row r="180" spans="1:15" ht="15.75" thickBot="1" x14ac:dyDescent="0.3">
      <c r="A180" s="1"/>
      <c r="B180" s="8" t="s">
        <v>15</v>
      </c>
      <c r="C180" s="32">
        <v>30</v>
      </c>
      <c r="D180" s="21">
        <v>29</v>
      </c>
      <c r="E180" s="21">
        <v>33</v>
      </c>
      <c r="F180" s="3">
        <v>16</v>
      </c>
      <c r="G180" s="3">
        <v>32</v>
      </c>
      <c r="H180" s="3">
        <v>16</v>
      </c>
      <c r="I180" s="3">
        <v>34</v>
      </c>
      <c r="J180" s="3">
        <v>28</v>
      </c>
      <c r="K180" s="3">
        <v>29</v>
      </c>
      <c r="L180" s="3">
        <v>31</v>
      </c>
      <c r="M180" s="3">
        <v>31</v>
      </c>
      <c r="N180" s="33">
        <v>27</v>
      </c>
      <c r="O180" s="18">
        <f t="shared" ref="O180:O185" si="75">+SUM(C180:N180)</f>
        <v>336</v>
      </c>
    </row>
    <row r="181" spans="1:15" ht="15.75" thickBot="1" x14ac:dyDescent="0.3">
      <c r="A181" s="1"/>
      <c r="B181" s="8" t="s">
        <v>16</v>
      </c>
      <c r="C181" s="32">
        <v>31</v>
      </c>
      <c r="D181" s="21">
        <v>27</v>
      </c>
      <c r="E181" s="21">
        <v>31</v>
      </c>
      <c r="F181" s="3">
        <v>19</v>
      </c>
      <c r="G181" s="3">
        <v>29</v>
      </c>
      <c r="H181" s="3">
        <v>21</v>
      </c>
      <c r="I181" s="3">
        <v>34</v>
      </c>
      <c r="J181" s="3">
        <v>26</v>
      </c>
      <c r="K181" s="3">
        <v>27</v>
      </c>
      <c r="L181" s="3">
        <v>32</v>
      </c>
      <c r="M181" s="3">
        <v>32</v>
      </c>
      <c r="N181" s="33">
        <v>28</v>
      </c>
      <c r="O181" s="18">
        <f t="shared" si="75"/>
        <v>337</v>
      </c>
    </row>
    <row r="182" spans="1:15" ht="15.75" thickBot="1" x14ac:dyDescent="0.3">
      <c r="A182" s="1"/>
      <c r="B182" s="8" t="s">
        <v>17</v>
      </c>
      <c r="C182" s="41">
        <f>+C177*C179</f>
        <v>186</v>
      </c>
      <c r="D182" s="41">
        <f t="shared" ref="D182:N182" si="76">+D177*D179</f>
        <v>174</v>
      </c>
      <c r="E182" s="41">
        <f t="shared" si="76"/>
        <v>186</v>
      </c>
      <c r="F182" s="41">
        <f t="shared" si="76"/>
        <v>180</v>
      </c>
      <c r="G182" s="41">
        <f t="shared" si="76"/>
        <v>186</v>
      </c>
      <c r="H182" s="41">
        <f t="shared" si="76"/>
        <v>270</v>
      </c>
      <c r="I182" s="41">
        <f t="shared" si="76"/>
        <v>279</v>
      </c>
      <c r="J182" s="41">
        <f t="shared" si="76"/>
        <v>279</v>
      </c>
      <c r="K182" s="41">
        <f t="shared" si="76"/>
        <v>270</v>
      </c>
      <c r="L182" s="41">
        <f t="shared" si="76"/>
        <v>279</v>
      </c>
      <c r="M182" s="41">
        <f t="shared" si="76"/>
        <v>270</v>
      </c>
      <c r="N182" s="41">
        <f t="shared" si="76"/>
        <v>279</v>
      </c>
      <c r="O182" s="18">
        <f t="shared" si="75"/>
        <v>2838</v>
      </c>
    </row>
    <row r="183" spans="1:15" ht="15.75" thickBot="1" x14ac:dyDescent="0.3">
      <c r="A183" s="1"/>
      <c r="B183" s="8" t="s">
        <v>18</v>
      </c>
      <c r="C183" s="32">
        <v>131</v>
      </c>
      <c r="D183" s="21">
        <v>87</v>
      </c>
      <c r="E183" s="21">
        <v>108</v>
      </c>
      <c r="F183" s="3">
        <v>69</v>
      </c>
      <c r="G183" s="3">
        <v>113</v>
      </c>
      <c r="H183" s="3">
        <v>97</v>
      </c>
      <c r="I183" s="3">
        <v>167</v>
      </c>
      <c r="J183" s="3">
        <v>97</v>
      </c>
      <c r="K183" s="3">
        <v>132</v>
      </c>
      <c r="L183" s="3">
        <v>105</v>
      </c>
      <c r="M183" s="3">
        <v>92</v>
      </c>
      <c r="N183" s="33">
        <v>112</v>
      </c>
      <c r="O183" s="18">
        <f t="shared" si="75"/>
        <v>1310</v>
      </c>
    </row>
    <row r="184" spans="1:15" ht="15.75" thickBot="1" x14ac:dyDescent="0.3">
      <c r="A184" s="1"/>
      <c r="B184" s="8" t="s">
        <v>19</v>
      </c>
      <c r="C184" s="32">
        <v>153</v>
      </c>
      <c r="D184" s="21">
        <v>142</v>
      </c>
      <c r="E184" s="21">
        <v>399</v>
      </c>
      <c r="F184" s="3">
        <v>197</v>
      </c>
      <c r="G184" s="3">
        <v>176</v>
      </c>
      <c r="H184" s="3">
        <v>162</v>
      </c>
      <c r="I184" s="3">
        <v>209</v>
      </c>
      <c r="J184" s="3">
        <v>140</v>
      </c>
      <c r="K184" s="3">
        <v>155</v>
      </c>
      <c r="L184" s="3">
        <v>143</v>
      </c>
      <c r="M184" s="3">
        <v>256</v>
      </c>
      <c r="N184" s="33">
        <v>188</v>
      </c>
      <c r="O184" s="18">
        <f t="shared" si="75"/>
        <v>2320</v>
      </c>
    </row>
    <row r="185" spans="1:15" ht="15.75" thickBot="1" x14ac:dyDescent="0.3">
      <c r="A185" s="1"/>
      <c r="B185" s="9" t="s">
        <v>51</v>
      </c>
      <c r="C185" s="75">
        <v>167</v>
      </c>
      <c r="D185" s="76">
        <v>159</v>
      </c>
      <c r="E185" s="76">
        <v>183</v>
      </c>
      <c r="F185" s="77">
        <v>196</v>
      </c>
      <c r="G185" s="76">
        <v>136</v>
      </c>
      <c r="H185" s="76">
        <v>87</v>
      </c>
      <c r="I185" s="76">
        <v>149</v>
      </c>
      <c r="J185" s="76">
        <v>76</v>
      </c>
      <c r="K185" s="76">
        <v>138</v>
      </c>
      <c r="L185" s="76">
        <v>135</v>
      </c>
      <c r="M185" s="76">
        <v>131</v>
      </c>
      <c r="N185" s="78">
        <v>117</v>
      </c>
      <c r="O185" s="18">
        <f t="shared" si="75"/>
        <v>1674</v>
      </c>
    </row>
    <row r="186" spans="1:15" ht="15.75" thickBot="1" x14ac:dyDescent="0.3">
      <c r="A186" s="1"/>
      <c r="B186" s="38" t="s">
        <v>21</v>
      </c>
      <c r="C186" s="70">
        <f t="shared" ref="C186:O186" si="77">+IF(C181&gt;0,C183/C181,"")</f>
        <v>4.225806451612903</v>
      </c>
      <c r="D186" s="71">
        <f t="shared" si="77"/>
        <v>3.2222222222222223</v>
      </c>
      <c r="E186" s="71">
        <f t="shared" si="77"/>
        <v>3.4838709677419355</v>
      </c>
      <c r="F186" s="71">
        <f t="shared" si="77"/>
        <v>3.6315789473684212</v>
      </c>
      <c r="G186" s="71">
        <f t="shared" si="77"/>
        <v>3.896551724137931</v>
      </c>
      <c r="H186" s="71">
        <f t="shared" si="77"/>
        <v>4.6190476190476186</v>
      </c>
      <c r="I186" s="71">
        <f t="shared" si="77"/>
        <v>4.9117647058823533</v>
      </c>
      <c r="J186" s="71">
        <f t="shared" si="77"/>
        <v>3.7307692307692308</v>
      </c>
      <c r="K186" s="71">
        <f t="shared" si="77"/>
        <v>4.8888888888888893</v>
      </c>
      <c r="L186" s="71">
        <f t="shared" si="77"/>
        <v>3.28125</v>
      </c>
      <c r="M186" s="71">
        <f t="shared" si="77"/>
        <v>2.875</v>
      </c>
      <c r="N186" s="73">
        <f t="shared" si="77"/>
        <v>4</v>
      </c>
      <c r="O186" s="47">
        <f t="shared" si="77"/>
        <v>3.8872403560830859</v>
      </c>
    </row>
    <row r="187" spans="1:15" ht="15.75" thickBot="1" x14ac:dyDescent="0.3">
      <c r="A187" s="1"/>
      <c r="B187" s="38" t="s">
        <v>23</v>
      </c>
      <c r="C187" s="42">
        <f t="shared" ref="C187:N187" si="78">+IF(C181&gt;0,C181/C179,"")</f>
        <v>5.166666666666667</v>
      </c>
      <c r="D187" s="42">
        <f t="shared" si="78"/>
        <v>4.5</v>
      </c>
      <c r="E187" s="42">
        <f t="shared" si="78"/>
        <v>5.166666666666667</v>
      </c>
      <c r="F187" s="42">
        <f t="shared" si="78"/>
        <v>3.1666666666666665</v>
      </c>
      <c r="G187" s="42">
        <f t="shared" si="78"/>
        <v>4.833333333333333</v>
      </c>
      <c r="H187" s="42">
        <f t="shared" si="78"/>
        <v>2.3333333333333335</v>
      </c>
      <c r="I187" s="42">
        <f t="shared" si="78"/>
        <v>3.7777777777777777</v>
      </c>
      <c r="J187" s="42">
        <f t="shared" si="78"/>
        <v>2.8888888888888888</v>
      </c>
      <c r="K187" s="42">
        <f t="shared" si="78"/>
        <v>3</v>
      </c>
      <c r="L187" s="42">
        <f t="shared" si="78"/>
        <v>3.5555555555555554</v>
      </c>
      <c r="M187" s="42">
        <f t="shared" si="78"/>
        <v>3.5555555555555554</v>
      </c>
      <c r="N187" s="46">
        <f t="shared" si="78"/>
        <v>3.1111111111111112</v>
      </c>
      <c r="O187" s="87">
        <f>+IF(O181&gt;0,AVERAGE(C181:N181)/O179,"")</f>
        <v>3.6236559139784945</v>
      </c>
    </row>
    <row r="188" spans="1:15" ht="15.75" thickBot="1" x14ac:dyDescent="0.3">
      <c r="A188" s="1"/>
      <c r="B188" s="38" t="s">
        <v>24</v>
      </c>
      <c r="C188" s="42">
        <f t="shared" ref="C188:O188" si="79">+IF(C181&gt;0,(C182-C185)/C181,"")</f>
        <v>0.61290322580645162</v>
      </c>
      <c r="D188" s="42">
        <f t="shared" si="79"/>
        <v>0.55555555555555558</v>
      </c>
      <c r="E188" s="42">
        <f t="shared" si="79"/>
        <v>9.6774193548387094E-2</v>
      </c>
      <c r="F188" s="42">
        <f t="shared" si="79"/>
        <v>-0.84210526315789469</v>
      </c>
      <c r="G188" s="42">
        <f t="shared" si="79"/>
        <v>1.7241379310344827</v>
      </c>
      <c r="H188" s="42">
        <f t="shared" si="79"/>
        <v>8.7142857142857135</v>
      </c>
      <c r="I188" s="42">
        <f t="shared" si="79"/>
        <v>3.8235294117647061</v>
      </c>
      <c r="J188" s="42">
        <f t="shared" si="79"/>
        <v>7.8076923076923075</v>
      </c>
      <c r="K188" s="42">
        <f t="shared" si="79"/>
        <v>4.8888888888888893</v>
      </c>
      <c r="L188" s="42">
        <f t="shared" si="79"/>
        <v>4.5</v>
      </c>
      <c r="M188" s="42">
        <f t="shared" si="79"/>
        <v>4.34375</v>
      </c>
      <c r="N188" s="42">
        <f t="shared" si="79"/>
        <v>5.7857142857142856</v>
      </c>
      <c r="O188" s="47">
        <f t="shared" si="79"/>
        <v>3.4540059347181007</v>
      </c>
    </row>
    <row r="189" spans="1:15" ht="15.75" thickBot="1" x14ac:dyDescent="0.3">
      <c r="A189" s="1"/>
      <c r="B189" s="38" t="s">
        <v>25</v>
      </c>
      <c r="C189" s="42">
        <f t="shared" ref="C189:O189" si="80">+IF(C185&gt;0,(C185/C182)*100,"")</f>
        <v>89.784946236559136</v>
      </c>
      <c r="D189" s="42">
        <f t="shared" si="80"/>
        <v>91.379310344827587</v>
      </c>
      <c r="E189" s="42">
        <f t="shared" si="80"/>
        <v>98.387096774193552</v>
      </c>
      <c r="F189" s="42">
        <f t="shared" si="80"/>
        <v>108.88888888888889</v>
      </c>
      <c r="G189" s="42">
        <f t="shared" si="80"/>
        <v>73.118279569892479</v>
      </c>
      <c r="H189" s="42">
        <f t="shared" si="80"/>
        <v>32.222222222222221</v>
      </c>
      <c r="I189" s="42">
        <f t="shared" si="80"/>
        <v>53.405017921146957</v>
      </c>
      <c r="J189" s="42">
        <f t="shared" si="80"/>
        <v>27.24014336917563</v>
      </c>
      <c r="K189" s="42">
        <f t="shared" si="80"/>
        <v>51.111111111111107</v>
      </c>
      <c r="L189" s="42">
        <f t="shared" si="80"/>
        <v>48.387096774193552</v>
      </c>
      <c r="M189" s="42">
        <f t="shared" si="80"/>
        <v>48.518518518518519</v>
      </c>
      <c r="N189" s="46">
        <f t="shared" si="80"/>
        <v>41.935483870967744</v>
      </c>
      <c r="O189" s="47">
        <f t="shared" si="80"/>
        <v>58.985200845665965</v>
      </c>
    </row>
    <row r="190" spans="1:15" ht="15.75" thickBot="1" x14ac:dyDescent="0.3">
      <c r="A190" s="1"/>
      <c r="B190" s="8" t="s">
        <v>26</v>
      </c>
      <c r="C190" s="41">
        <f>+SUM(C191:C192)</f>
        <v>7</v>
      </c>
      <c r="D190" s="41">
        <f t="shared" ref="D190:N190" si="81">+SUM(D191:D192)</f>
        <v>6</v>
      </c>
      <c r="E190" s="41">
        <f t="shared" si="81"/>
        <v>10</v>
      </c>
      <c r="F190" s="41">
        <f t="shared" si="81"/>
        <v>4</v>
      </c>
      <c r="G190" s="41">
        <f t="shared" si="81"/>
        <v>6</v>
      </c>
      <c r="H190" s="41">
        <f t="shared" si="81"/>
        <v>9</v>
      </c>
      <c r="I190" s="41">
        <f t="shared" si="81"/>
        <v>9</v>
      </c>
      <c r="J190" s="41">
        <f t="shared" si="81"/>
        <v>8</v>
      </c>
      <c r="K190" s="41">
        <f t="shared" si="81"/>
        <v>6</v>
      </c>
      <c r="L190" s="41">
        <f t="shared" si="81"/>
        <v>9</v>
      </c>
      <c r="M190" s="41">
        <f t="shared" si="81"/>
        <v>5</v>
      </c>
      <c r="N190" s="45">
        <f t="shared" si="81"/>
        <v>14</v>
      </c>
      <c r="O190" s="18">
        <f>+SUM(C190:N190)</f>
        <v>93</v>
      </c>
    </row>
    <row r="191" spans="1:15" ht="15.75" thickBot="1" x14ac:dyDescent="0.3">
      <c r="A191" s="1"/>
      <c r="B191" s="8" t="s">
        <v>52</v>
      </c>
      <c r="C191" s="32">
        <v>5</v>
      </c>
      <c r="D191" s="21">
        <v>5</v>
      </c>
      <c r="E191" s="21">
        <v>1</v>
      </c>
      <c r="F191" s="3">
        <v>4</v>
      </c>
      <c r="G191" s="3">
        <v>6</v>
      </c>
      <c r="H191" s="3">
        <v>9</v>
      </c>
      <c r="I191" s="3">
        <v>6</v>
      </c>
      <c r="J191" s="3">
        <v>2</v>
      </c>
      <c r="K191" s="3">
        <v>4</v>
      </c>
      <c r="L191" s="3">
        <v>7</v>
      </c>
      <c r="M191" s="3">
        <v>3</v>
      </c>
      <c r="N191" s="33">
        <v>9</v>
      </c>
      <c r="O191" s="18">
        <f>+SUM(C191:N191)</f>
        <v>61</v>
      </c>
    </row>
    <row r="192" spans="1:15" ht="15.75" thickBot="1" x14ac:dyDescent="0.3">
      <c r="A192" s="1"/>
      <c r="B192" s="8" t="s">
        <v>53</v>
      </c>
      <c r="C192" s="32">
        <v>2</v>
      </c>
      <c r="D192" s="21">
        <v>1</v>
      </c>
      <c r="E192" s="21">
        <v>9</v>
      </c>
      <c r="F192" s="3">
        <v>0</v>
      </c>
      <c r="G192" s="3">
        <v>0</v>
      </c>
      <c r="H192" s="3">
        <v>0</v>
      </c>
      <c r="I192" s="3">
        <v>3</v>
      </c>
      <c r="J192" s="3">
        <v>6</v>
      </c>
      <c r="K192" s="3">
        <v>2</v>
      </c>
      <c r="L192" s="3">
        <v>2</v>
      </c>
      <c r="M192" s="3">
        <v>2</v>
      </c>
      <c r="N192" s="33">
        <v>5</v>
      </c>
      <c r="O192" s="18">
        <f>+SUM(C192:N192)</f>
        <v>32</v>
      </c>
    </row>
    <row r="193" spans="1:15" ht="15.75" thickBot="1" x14ac:dyDescent="0.3">
      <c r="A193" s="1"/>
      <c r="B193" s="15" t="s">
        <v>31</v>
      </c>
      <c r="C193" s="25">
        <v>0</v>
      </c>
      <c r="D193" s="25">
        <v>0</v>
      </c>
      <c r="E193" s="25">
        <v>1</v>
      </c>
      <c r="F193" s="34">
        <v>2</v>
      </c>
      <c r="G193" s="34">
        <v>1</v>
      </c>
      <c r="H193" s="34">
        <v>0</v>
      </c>
      <c r="I193" s="34">
        <v>2</v>
      </c>
      <c r="J193" s="34">
        <v>0</v>
      </c>
      <c r="K193" s="34">
        <v>0</v>
      </c>
      <c r="L193" s="34">
        <v>0</v>
      </c>
      <c r="M193" s="34">
        <v>3</v>
      </c>
      <c r="N193" s="35">
        <v>2</v>
      </c>
      <c r="O193" s="28">
        <f>+SUM(C193:N193)</f>
        <v>11</v>
      </c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thickBo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6.5" thickBot="1" x14ac:dyDescent="0.3">
      <c r="A196" s="1"/>
      <c r="B196" s="1"/>
      <c r="C196" s="199" t="s">
        <v>49</v>
      </c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199">
        <f>+[2]INICIO!M4</f>
        <v>2016</v>
      </c>
      <c r="O196" s="201"/>
    </row>
    <row r="197" spans="1:15" ht="15.75" thickBot="1" x14ac:dyDescent="0.3">
      <c r="A197" s="1"/>
      <c r="B197" s="7"/>
      <c r="C197" s="39">
        <v>31</v>
      </c>
      <c r="D197" s="39">
        <v>29</v>
      </c>
      <c r="E197" s="39">
        <v>31</v>
      </c>
      <c r="F197" s="39">
        <v>30</v>
      </c>
      <c r="G197" s="39">
        <v>31</v>
      </c>
      <c r="H197" s="39">
        <v>30</v>
      </c>
      <c r="I197" s="39">
        <v>31</v>
      </c>
      <c r="J197" s="39">
        <v>31</v>
      </c>
      <c r="K197" s="39">
        <v>30</v>
      </c>
      <c r="L197" s="39">
        <v>31</v>
      </c>
      <c r="M197" s="39">
        <v>30</v>
      </c>
      <c r="N197" s="39">
        <v>31</v>
      </c>
      <c r="O197" s="40">
        <v>4</v>
      </c>
    </row>
    <row r="198" spans="1:15" ht="15.75" thickBot="1" x14ac:dyDescent="0.3">
      <c r="A198" s="1"/>
      <c r="B198" s="10" t="s">
        <v>67</v>
      </c>
      <c r="C198" s="11" t="s">
        <v>1</v>
      </c>
      <c r="D198" s="12" t="s">
        <v>2</v>
      </c>
      <c r="E198" s="12" t="s">
        <v>3</v>
      </c>
      <c r="F198" s="12" t="s">
        <v>4</v>
      </c>
      <c r="G198" s="12" t="s">
        <v>5</v>
      </c>
      <c r="H198" s="12" t="s">
        <v>6</v>
      </c>
      <c r="I198" s="12" t="s">
        <v>7</v>
      </c>
      <c r="J198" s="12" t="s">
        <v>8</v>
      </c>
      <c r="K198" s="13" t="s">
        <v>9</v>
      </c>
      <c r="L198" s="13" t="s">
        <v>10</v>
      </c>
      <c r="M198" s="13" t="s">
        <v>11</v>
      </c>
      <c r="N198" s="13" t="s">
        <v>12</v>
      </c>
      <c r="O198" s="14" t="s">
        <v>13</v>
      </c>
    </row>
    <row r="199" spans="1:15" ht="15.75" thickBot="1" x14ac:dyDescent="0.3">
      <c r="A199" s="1"/>
      <c r="B199" s="8" t="s">
        <v>14</v>
      </c>
      <c r="C199" s="44">
        <v>4</v>
      </c>
      <c r="D199" s="44">
        <v>4</v>
      </c>
      <c r="E199" s="44">
        <v>4</v>
      </c>
      <c r="F199" s="44">
        <v>4</v>
      </c>
      <c r="G199" s="44">
        <v>4</v>
      </c>
      <c r="H199" s="44">
        <v>4</v>
      </c>
      <c r="I199" s="44">
        <v>4</v>
      </c>
      <c r="J199" s="44">
        <v>4</v>
      </c>
      <c r="K199" s="44">
        <v>4</v>
      </c>
      <c r="L199" s="44">
        <v>4</v>
      </c>
      <c r="M199" s="44">
        <v>4</v>
      </c>
      <c r="N199" s="48">
        <v>4</v>
      </c>
      <c r="O199" s="36">
        <f>+AVERAGE(C199:N199)</f>
        <v>4</v>
      </c>
    </row>
    <row r="200" spans="1:15" ht="15.75" thickBot="1" x14ac:dyDescent="0.3">
      <c r="A200" s="1"/>
      <c r="B200" s="8" t="s">
        <v>15</v>
      </c>
      <c r="C200" s="32">
        <v>6</v>
      </c>
      <c r="D200" s="21">
        <v>12</v>
      </c>
      <c r="E200" s="21">
        <v>8</v>
      </c>
      <c r="F200" s="3">
        <v>8</v>
      </c>
      <c r="G200" s="3">
        <v>10</v>
      </c>
      <c r="H200" s="3">
        <v>8</v>
      </c>
      <c r="I200" s="3">
        <v>8</v>
      </c>
      <c r="J200" s="3">
        <v>3</v>
      </c>
      <c r="K200" s="3">
        <v>7</v>
      </c>
      <c r="L200" s="3">
        <v>11</v>
      </c>
      <c r="M200" s="3">
        <v>9</v>
      </c>
      <c r="N200" s="33">
        <v>7</v>
      </c>
      <c r="O200" s="18">
        <f t="shared" ref="O200:O205" si="82">+SUM(C200:N200)</f>
        <v>97</v>
      </c>
    </row>
    <row r="201" spans="1:15" ht="15.75" thickBot="1" x14ac:dyDescent="0.3">
      <c r="A201" s="1"/>
      <c r="B201" s="8" t="s">
        <v>16</v>
      </c>
      <c r="C201" s="32">
        <v>7</v>
      </c>
      <c r="D201" s="21">
        <v>9</v>
      </c>
      <c r="E201" s="21">
        <v>11</v>
      </c>
      <c r="F201" s="3">
        <v>8</v>
      </c>
      <c r="G201" s="3">
        <v>7</v>
      </c>
      <c r="H201" s="3">
        <v>9</v>
      </c>
      <c r="I201" s="3">
        <v>9</v>
      </c>
      <c r="J201" s="3">
        <v>3</v>
      </c>
      <c r="K201" s="3">
        <v>5</v>
      </c>
      <c r="L201" s="3">
        <v>11</v>
      </c>
      <c r="M201" s="3">
        <v>7</v>
      </c>
      <c r="N201" s="33">
        <v>8</v>
      </c>
      <c r="O201" s="18">
        <f t="shared" si="82"/>
        <v>94</v>
      </c>
    </row>
    <row r="202" spans="1:15" ht="15.75" thickBot="1" x14ac:dyDescent="0.3">
      <c r="A202" s="1"/>
      <c r="B202" s="8" t="s">
        <v>17</v>
      </c>
      <c r="C202" s="41">
        <f>+C197*C199</f>
        <v>124</v>
      </c>
      <c r="D202" s="41">
        <f t="shared" ref="D202:N202" si="83">+D197*D199</f>
        <v>116</v>
      </c>
      <c r="E202" s="41">
        <f t="shared" si="83"/>
        <v>124</v>
      </c>
      <c r="F202" s="41">
        <f t="shared" si="83"/>
        <v>120</v>
      </c>
      <c r="G202" s="41">
        <f t="shared" si="83"/>
        <v>124</v>
      </c>
      <c r="H202" s="41">
        <f t="shared" si="83"/>
        <v>120</v>
      </c>
      <c r="I202" s="41">
        <f t="shared" si="83"/>
        <v>124</v>
      </c>
      <c r="J202" s="41">
        <f t="shared" si="83"/>
        <v>124</v>
      </c>
      <c r="K202" s="41">
        <f t="shared" si="83"/>
        <v>120</v>
      </c>
      <c r="L202" s="41">
        <f t="shared" si="83"/>
        <v>124</v>
      </c>
      <c r="M202" s="41">
        <f t="shared" si="83"/>
        <v>120</v>
      </c>
      <c r="N202" s="41">
        <f t="shared" si="83"/>
        <v>124</v>
      </c>
      <c r="O202" s="18">
        <f t="shared" si="82"/>
        <v>1464</v>
      </c>
    </row>
    <row r="203" spans="1:15" ht="15.75" thickBot="1" x14ac:dyDescent="0.3">
      <c r="A203" s="1"/>
      <c r="B203" s="8" t="s">
        <v>18</v>
      </c>
      <c r="C203" s="32">
        <v>66</v>
      </c>
      <c r="D203" s="21">
        <v>53</v>
      </c>
      <c r="E203" s="21">
        <v>34</v>
      </c>
      <c r="F203" s="3">
        <v>29</v>
      </c>
      <c r="G203" s="3">
        <v>33</v>
      </c>
      <c r="H203" s="3">
        <v>23</v>
      </c>
      <c r="I203" s="3">
        <v>35</v>
      </c>
      <c r="J203" s="3">
        <v>18</v>
      </c>
      <c r="K203" s="3">
        <v>8</v>
      </c>
      <c r="L203" s="3">
        <v>23</v>
      </c>
      <c r="M203" s="3">
        <v>26</v>
      </c>
      <c r="N203" s="33">
        <v>12</v>
      </c>
      <c r="O203" s="18">
        <f t="shared" si="82"/>
        <v>360</v>
      </c>
    </row>
    <row r="204" spans="1:15" ht="15.75" thickBot="1" x14ac:dyDescent="0.3">
      <c r="A204" s="1"/>
      <c r="B204" s="8" t="s">
        <v>19</v>
      </c>
      <c r="C204" s="32">
        <v>66</v>
      </c>
      <c r="D204" s="21">
        <v>58</v>
      </c>
      <c r="E204" s="21">
        <v>81</v>
      </c>
      <c r="F204" s="3">
        <v>57</v>
      </c>
      <c r="G204" s="3">
        <v>44</v>
      </c>
      <c r="H204" s="3">
        <v>26</v>
      </c>
      <c r="I204" s="3">
        <v>62</v>
      </c>
      <c r="J204" s="3">
        <v>25</v>
      </c>
      <c r="K204" s="3">
        <v>8</v>
      </c>
      <c r="L204" s="3">
        <v>56</v>
      </c>
      <c r="M204" s="3">
        <v>39</v>
      </c>
      <c r="N204" s="33">
        <v>35</v>
      </c>
      <c r="O204" s="18">
        <f t="shared" si="82"/>
        <v>557</v>
      </c>
    </row>
    <row r="205" spans="1:15" ht="15.75" thickBot="1" x14ac:dyDescent="0.3">
      <c r="A205" s="1"/>
      <c r="B205" s="9" t="s">
        <v>51</v>
      </c>
      <c r="C205" s="75">
        <v>36</v>
      </c>
      <c r="D205" s="76">
        <v>81</v>
      </c>
      <c r="E205" s="76">
        <v>80</v>
      </c>
      <c r="F205" s="77">
        <v>47</v>
      </c>
      <c r="G205" s="76">
        <v>41</v>
      </c>
      <c r="H205" s="76">
        <v>92</v>
      </c>
      <c r="I205" s="76">
        <v>72</v>
      </c>
      <c r="J205" s="76">
        <v>80</v>
      </c>
      <c r="K205" s="76">
        <v>101</v>
      </c>
      <c r="L205" s="76">
        <v>118</v>
      </c>
      <c r="M205" s="76">
        <v>108</v>
      </c>
      <c r="N205" s="78">
        <v>122</v>
      </c>
      <c r="O205" s="18">
        <f t="shared" si="82"/>
        <v>978</v>
      </c>
    </row>
    <row r="206" spans="1:15" ht="15.75" thickBot="1" x14ac:dyDescent="0.3">
      <c r="A206" s="1"/>
      <c r="B206" s="38" t="s">
        <v>21</v>
      </c>
      <c r="C206" s="70">
        <f t="shared" ref="C206:O206" si="84">+IF(C201&gt;0,C203/C201,"")</f>
        <v>9.4285714285714288</v>
      </c>
      <c r="D206" s="71">
        <f t="shared" si="84"/>
        <v>5.8888888888888893</v>
      </c>
      <c r="E206" s="71">
        <f t="shared" si="84"/>
        <v>3.0909090909090908</v>
      </c>
      <c r="F206" s="71">
        <f t="shared" si="84"/>
        <v>3.625</v>
      </c>
      <c r="G206" s="71">
        <f t="shared" si="84"/>
        <v>4.7142857142857144</v>
      </c>
      <c r="H206" s="71">
        <f t="shared" si="84"/>
        <v>2.5555555555555554</v>
      </c>
      <c r="I206" s="71">
        <f t="shared" si="84"/>
        <v>3.8888888888888888</v>
      </c>
      <c r="J206" s="71">
        <f t="shared" si="84"/>
        <v>6</v>
      </c>
      <c r="K206" s="71">
        <f t="shared" si="84"/>
        <v>1.6</v>
      </c>
      <c r="L206" s="71">
        <f t="shared" si="84"/>
        <v>2.0909090909090908</v>
      </c>
      <c r="M206" s="71">
        <f t="shared" si="84"/>
        <v>3.7142857142857144</v>
      </c>
      <c r="N206" s="73">
        <f t="shared" si="84"/>
        <v>1.5</v>
      </c>
      <c r="O206" s="47">
        <f t="shared" si="84"/>
        <v>3.8297872340425534</v>
      </c>
    </row>
    <row r="207" spans="1:15" ht="15.75" thickBot="1" x14ac:dyDescent="0.3">
      <c r="A207" s="1"/>
      <c r="B207" s="38" t="s">
        <v>23</v>
      </c>
      <c r="C207" s="42">
        <f t="shared" ref="C207:N207" si="85">+IF(C201&gt;0,C201/C199,"")</f>
        <v>1.75</v>
      </c>
      <c r="D207" s="42">
        <f t="shared" si="85"/>
        <v>2.25</v>
      </c>
      <c r="E207" s="42">
        <f t="shared" si="85"/>
        <v>2.75</v>
      </c>
      <c r="F207" s="42">
        <f t="shared" si="85"/>
        <v>2</v>
      </c>
      <c r="G207" s="42">
        <f t="shared" si="85"/>
        <v>1.75</v>
      </c>
      <c r="H207" s="42">
        <f t="shared" si="85"/>
        <v>2.25</v>
      </c>
      <c r="I207" s="42">
        <f t="shared" si="85"/>
        <v>2.25</v>
      </c>
      <c r="J207" s="42">
        <f t="shared" si="85"/>
        <v>0.75</v>
      </c>
      <c r="K207" s="42">
        <f t="shared" si="85"/>
        <v>1.25</v>
      </c>
      <c r="L207" s="42">
        <f t="shared" si="85"/>
        <v>2.75</v>
      </c>
      <c r="M207" s="42">
        <f t="shared" si="85"/>
        <v>1.75</v>
      </c>
      <c r="N207" s="46">
        <f t="shared" si="85"/>
        <v>2</v>
      </c>
      <c r="O207" s="87">
        <f>+IF(O201&gt;0,AVERAGE(C201:N201)/O199,"")</f>
        <v>1.9583333333333333</v>
      </c>
    </row>
    <row r="208" spans="1:15" ht="15.75" thickBot="1" x14ac:dyDescent="0.3">
      <c r="A208" s="1"/>
      <c r="B208" s="38" t="s">
        <v>24</v>
      </c>
      <c r="C208" s="42">
        <f t="shared" ref="C208:O208" si="86">+IF(C201&gt;0,(C202-C205)/C201,"")</f>
        <v>12.571428571428571</v>
      </c>
      <c r="D208" s="42">
        <f t="shared" si="86"/>
        <v>3.8888888888888888</v>
      </c>
      <c r="E208" s="42">
        <f t="shared" si="86"/>
        <v>4</v>
      </c>
      <c r="F208" s="42">
        <f t="shared" si="86"/>
        <v>9.125</v>
      </c>
      <c r="G208" s="42">
        <f t="shared" si="86"/>
        <v>11.857142857142858</v>
      </c>
      <c r="H208" s="42">
        <f t="shared" si="86"/>
        <v>3.1111111111111112</v>
      </c>
      <c r="I208" s="42">
        <f t="shared" si="86"/>
        <v>5.7777777777777777</v>
      </c>
      <c r="J208" s="42">
        <f t="shared" si="86"/>
        <v>14.666666666666666</v>
      </c>
      <c r="K208" s="42">
        <f t="shared" si="86"/>
        <v>3.8</v>
      </c>
      <c r="L208" s="42">
        <f t="shared" si="86"/>
        <v>0.54545454545454541</v>
      </c>
      <c r="M208" s="42">
        <f t="shared" si="86"/>
        <v>1.7142857142857142</v>
      </c>
      <c r="N208" s="42">
        <f t="shared" si="86"/>
        <v>0.25</v>
      </c>
      <c r="O208" s="47">
        <f t="shared" si="86"/>
        <v>5.1702127659574471</v>
      </c>
    </row>
    <row r="209" spans="1:15" ht="15.75" thickBot="1" x14ac:dyDescent="0.3">
      <c r="A209" s="1"/>
      <c r="B209" s="38" t="s">
        <v>25</v>
      </c>
      <c r="C209" s="42">
        <f t="shared" ref="C209:O209" si="87">+IF(C205&gt;0,(C205/C202)*100,"")</f>
        <v>29.032258064516132</v>
      </c>
      <c r="D209" s="42">
        <f t="shared" si="87"/>
        <v>69.827586206896555</v>
      </c>
      <c r="E209" s="42">
        <f t="shared" si="87"/>
        <v>64.516129032258064</v>
      </c>
      <c r="F209" s="42">
        <f t="shared" si="87"/>
        <v>39.166666666666664</v>
      </c>
      <c r="G209" s="42">
        <f t="shared" si="87"/>
        <v>33.064516129032256</v>
      </c>
      <c r="H209" s="42">
        <f t="shared" si="87"/>
        <v>76.666666666666671</v>
      </c>
      <c r="I209" s="42">
        <f t="shared" si="87"/>
        <v>58.064516129032263</v>
      </c>
      <c r="J209" s="42">
        <f t="shared" si="87"/>
        <v>64.516129032258064</v>
      </c>
      <c r="K209" s="42">
        <f t="shared" si="87"/>
        <v>84.166666666666671</v>
      </c>
      <c r="L209" s="42">
        <f t="shared" si="87"/>
        <v>95.161290322580655</v>
      </c>
      <c r="M209" s="42">
        <f t="shared" si="87"/>
        <v>90</v>
      </c>
      <c r="N209" s="46">
        <f t="shared" si="87"/>
        <v>98.387096774193552</v>
      </c>
      <c r="O209" s="47">
        <f t="shared" si="87"/>
        <v>66.803278688524586</v>
      </c>
    </row>
    <row r="210" spans="1:15" ht="15.75" thickBot="1" x14ac:dyDescent="0.3">
      <c r="A210" s="1"/>
      <c r="B210" s="8" t="s">
        <v>26</v>
      </c>
      <c r="C210" s="41">
        <f>+SUM(C211:C212)</f>
        <v>2</v>
      </c>
      <c r="D210" s="41">
        <f t="shared" ref="D210:N210" si="88">+SUM(D211:D212)</f>
        <v>0</v>
      </c>
      <c r="E210" s="41">
        <f t="shared" si="88"/>
        <v>1</v>
      </c>
      <c r="F210" s="41">
        <f t="shared" si="88"/>
        <v>0</v>
      </c>
      <c r="G210" s="41">
        <f t="shared" si="88"/>
        <v>1</v>
      </c>
      <c r="H210" s="41">
        <f t="shared" si="88"/>
        <v>0</v>
      </c>
      <c r="I210" s="41">
        <f t="shared" si="88"/>
        <v>0</v>
      </c>
      <c r="J210" s="41">
        <f t="shared" si="88"/>
        <v>0</v>
      </c>
      <c r="K210" s="41">
        <f t="shared" si="88"/>
        <v>0</v>
      </c>
      <c r="L210" s="41">
        <f t="shared" si="88"/>
        <v>0</v>
      </c>
      <c r="M210" s="41">
        <f t="shared" si="88"/>
        <v>1</v>
      </c>
      <c r="N210" s="45">
        <f t="shared" si="88"/>
        <v>0</v>
      </c>
      <c r="O210" s="18">
        <f>+SUM(C210:N210)</f>
        <v>5</v>
      </c>
    </row>
    <row r="211" spans="1:15" ht="15.75" thickBot="1" x14ac:dyDescent="0.3">
      <c r="A211" s="1"/>
      <c r="B211" s="8" t="s">
        <v>52</v>
      </c>
      <c r="C211" s="32">
        <v>1</v>
      </c>
      <c r="D211" s="21">
        <v>0</v>
      </c>
      <c r="E211" s="21">
        <v>1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1</v>
      </c>
      <c r="N211" s="33">
        <v>0</v>
      </c>
      <c r="O211" s="18">
        <f>+SUM(C211:N211)</f>
        <v>3</v>
      </c>
    </row>
    <row r="212" spans="1:15" ht="15.75" thickBot="1" x14ac:dyDescent="0.3">
      <c r="A212" s="1"/>
      <c r="B212" s="8" t="s">
        <v>53</v>
      </c>
      <c r="C212" s="32">
        <v>1</v>
      </c>
      <c r="D212" s="21">
        <v>0</v>
      </c>
      <c r="E212" s="21">
        <v>0</v>
      </c>
      <c r="F212" s="3">
        <v>0</v>
      </c>
      <c r="G212" s="3">
        <v>1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3">
        <v>0</v>
      </c>
      <c r="O212" s="18">
        <f>+SUM(C212:N212)</f>
        <v>2</v>
      </c>
    </row>
    <row r="213" spans="1:15" ht="15.75" thickBot="1" x14ac:dyDescent="0.3">
      <c r="A213" s="1"/>
      <c r="B213" s="15" t="s">
        <v>31</v>
      </c>
      <c r="C213" s="25">
        <v>0</v>
      </c>
      <c r="D213" s="25">
        <v>0</v>
      </c>
      <c r="E213" s="25">
        <v>2</v>
      </c>
      <c r="F213" s="34">
        <v>0</v>
      </c>
      <c r="G213" s="34"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v>0</v>
      </c>
      <c r="N213" s="35">
        <v>0</v>
      </c>
      <c r="O213" s="28">
        <f>+SUM(C213:N213)</f>
        <v>2</v>
      </c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thickBo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6.5" thickBot="1" x14ac:dyDescent="0.3">
      <c r="A216" s="1"/>
      <c r="B216" s="1"/>
      <c r="C216" s="199" t="s">
        <v>49</v>
      </c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199">
        <f>+[2]INICIO!M4</f>
        <v>2016</v>
      </c>
      <c r="O216" s="201"/>
    </row>
    <row r="217" spans="1:15" ht="15.75" thickBot="1" x14ac:dyDescent="0.3">
      <c r="A217" s="1"/>
      <c r="B217" s="7"/>
      <c r="C217" s="39">
        <v>31</v>
      </c>
      <c r="D217" s="39">
        <v>29</v>
      </c>
      <c r="E217" s="39">
        <v>31</v>
      </c>
      <c r="F217" s="39">
        <v>30</v>
      </c>
      <c r="G217" s="39">
        <v>31</v>
      </c>
      <c r="H217" s="39">
        <v>30</v>
      </c>
      <c r="I217" s="39">
        <v>31</v>
      </c>
      <c r="J217" s="39">
        <v>31</v>
      </c>
      <c r="K217" s="39">
        <v>30</v>
      </c>
      <c r="L217" s="39">
        <v>31</v>
      </c>
      <c r="M217" s="39">
        <v>30</v>
      </c>
      <c r="N217" s="39">
        <v>31</v>
      </c>
      <c r="O217" s="40">
        <v>11</v>
      </c>
    </row>
    <row r="218" spans="1:15" ht="15.75" thickBot="1" x14ac:dyDescent="0.3">
      <c r="A218" s="1"/>
      <c r="B218" s="10" t="s">
        <v>68</v>
      </c>
      <c r="C218" s="11" t="s">
        <v>1</v>
      </c>
      <c r="D218" s="12" t="s">
        <v>2</v>
      </c>
      <c r="E218" s="12" t="s">
        <v>3</v>
      </c>
      <c r="F218" s="12" t="s">
        <v>4</v>
      </c>
      <c r="G218" s="12" t="s">
        <v>5</v>
      </c>
      <c r="H218" s="12" t="s">
        <v>6</v>
      </c>
      <c r="I218" s="12" t="s">
        <v>7</v>
      </c>
      <c r="J218" s="12" t="s">
        <v>8</v>
      </c>
      <c r="K218" s="13" t="s">
        <v>9</v>
      </c>
      <c r="L218" s="13" t="s">
        <v>10</v>
      </c>
      <c r="M218" s="13" t="s">
        <v>11</v>
      </c>
      <c r="N218" s="13" t="s">
        <v>12</v>
      </c>
      <c r="O218" s="14" t="s">
        <v>13</v>
      </c>
    </row>
    <row r="219" spans="1:15" ht="15.75" thickBot="1" x14ac:dyDescent="0.3">
      <c r="A219" s="1"/>
      <c r="B219" s="8" t="s">
        <v>14</v>
      </c>
      <c r="C219" s="44">
        <v>11</v>
      </c>
      <c r="D219" s="44">
        <v>11</v>
      </c>
      <c r="E219" s="44">
        <v>11</v>
      </c>
      <c r="F219" s="44">
        <v>11</v>
      </c>
      <c r="G219" s="44">
        <v>11</v>
      </c>
      <c r="H219" s="44">
        <v>11</v>
      </c>
      <c r="I219" s="44">
        <v>11</v>
      </c>
      <c r="J219" s="44">
        <v>11</v>
      </c>
      <c r="K219" s="44">
        <v>11</v>
      </c>
      <c r="L219" s="44">
        <v>11</v>
      </c>
      <c r="M219" s="44">
        <v>11</v>
      </c>
      <c r="N219" s="48">
        <v>11</v>
      </c>
      <c r="O219" s="36">
        <f>+AVERAGE(C219:N219)</f>
        <v>11</v>
      </c>
    </row>
    <row r="220" spans="1:15" ht="15.75" thickBot="1" x14ac:dyDescent="0.3">
      <c r="A220" s="1"/>
      <c r="B220" s="8" t="s">
        <v>15</v>
      </c>
      <c r="C220" s="32">
        <v>27</v>
      </c>
      <c r="D220" s="21">
        <v>29</v>
      </c>
      <c r="E220" s="21">
        <v>27</v>
      </c>
      <c r="F220" s="3">
        <v>34</v>
      </c>
      <c r="G220" s="3">
        <v>24</v>
      </c>
      <c r="H220" s="3">
        <v>34</v>
      </c>
      <c r="I220" s="3">
        <v>25</v>
      </c>
      <c r="J220" s="3">
        <v>23</v>
      </c>
      <c r="K220" s="3">
        <v>24</v>
      </c>
      <c r="L220" s="3">
        <v>21</v>
      </c>
      <c r="M220" s="3">
        <v>29</v>
      </c>
      <c r="N220" s="33">
        <v>20</v>
      </c>
      <c r="O220" s="18">
        <f t="shared" ref="O220:O225" si="89">+SUM(C220:N220)</f>
        <v>317</v>
      </c>
    </row>
    <row r="221" spans="1:15" ht="15.75" thickBot="1" x14ac:dyDescent="0.3">
      <c r="A221" s="1"/>
      <c r="B221" s="8" t="s">
        <v>16</v>
      </c>
      <c r="C221" s="32">
        <v>27</v>
      </c>
      <c r="D221" s="21">
        <v>25</v>
      </c>
      <c r="E221" s="21">
        <v>28</v>
      </c>
      <c r="F221" s="3">
        <v>35</v>
      </c>
      <c r="G221" s="3">
        <v>24</v>
      </c>
      <c r="H221" s="3">
        <v>35</v>
      </c>
      <c r="I221" s="3">
        <v>27</v>
      </c>
      <c r="J221" s="3">
        <v>23</v>
      </c>
      <c r="K221" s="3">
        <v>18</v>
      </c>
      <c r="L221" s="3">
        <v>26</v>
      </c>
      <c r="M221" s="3">
        <v>30</v>
      </c>
      <c r="N221" s="33">
        <v>25</v>
      </c>
      <c r="O221" s="18">
        <f t="shared" si="89"/>
        <v>323</v>
      </c>
    </row>
    <row r="222" spans="1:15" ht="15.75" thickBot="1" x14ac:dyDescent="0.3">
      <c r="A222" s="1"/>
      <c r="B222" s="8" t="s">
        <v>17</v>
      </c>
      <c r="C222" s="41">
        <f>+C217*C219</f>
        <v>341</v>
      </c>
      <c r="D222" s="41">
        <f t="shared" ref="D222:N222" si="90">+D217*D219</f>
        <v>319</v>
      </c>
      <c r="E222" s="41">
        <f t="shared" si="90"/>
        <v>341</v>
      </c>
      <c r="F222" s="41">
        <f t="shared" si="90"/>
        <v>330</v>
      </c>
      <c r="G222" s="41">
        <f t="shared" si="90"/>
        <v>341</v>
      </c>
      <c r="H222" s="41">
        <f t="shared" si="90"/>
        <v>330</v>
      </c>
      <c r="I222" s="41">
        <f t="shared" si="90"/>
        <v>341</v>
      </c>
      <c r="J222" s="41">
        <f t="shared" si="90"/>
        <v>341</v>
      </c>
      <c r="K222" s="41">
        <f t="shared" si="90"/>
        <v>330</v>
      </c>
      <c r="L222" s="41">
        <f t="shared" si="90"/>
        <v>341</v>
      </c>
      <c r="M222" s="41">
        <f t="shared" si="90"/>
        <v>330</v>
      </c>
      <c r="N222" s="41">
        <f t="shared" si="90"/>
        <v>341</v>
      </c>
      <c r="O222" s="18">
        <f t="shared" si="89"/>
        <v>4026</v>
      </c>
    </row>
    <row r="223" spans="1:15" ht="15.75" thickBot="1" x14ac:dyDescent="0.3">
      <c r="A223" s="1"/>
      <c r="B223" s="8" t="s">
        <v>18</v>
      </c>
      <c r="C223" s="32">
        <v>82</v>
      </c>
      <c r="D223" s="21">
        <v>76</v>
      </c>
      <c r="E223" s="21">
        <v>61</v>
      </c>
      <c r="F223" s="3">
        <v>148</v>
      </c>
      <c r="G223" s="3">
        <v>86</v>
      </c>
      <c r="H223" s="3">
        <v>134</v>
      </c>
      <c r="I223" s="3">
        <v>118</v>
      </c>
      <c r="J223" s="3">
        <v>96</v>
      </c>
      <c r="K223" s="3">
        <v>52</v>
      </c>
      <c r="L223" s="3">
        <v>85</v>
      </c>
      <c r="M223" s="3">
        <v>100</v>
      </c>
      <c r="N223" s="33">
        <v>96</v>
      </c>
      <c r="O223" s="18">
        <f t="shared" si="89"/>
        <v>1134</v>
      </c>
    </row>
    <row r="224" spans="1:15" ht="15.75" thickBot="1" x14ac:dyDescent="0.3">
      <c r="A224" s="1"/>
      <c r="B224" s="8" t="s">
        <v>19</v>
      </c>
      <c r="C224" s="32">
        <v>82</v>
      </c>
      <c r="D224" s="21">
        <v>88</v>
      </c>
      <c r="E224" s="21">
        <v>79</v>
      </c>
      <c r="F224" s="3">
        <v>229</v>
      </c>
      <c r="G224" s="3">
        <v>120</v>
      </c>
      <c r="H224" s="3">
        <v>164</v>
      </c>
      <c r="I224" s="3">
        <v>139</v>
      </c>
      <c r="J224" s="3">
        <v>117</v>
      </c>
      <c r="K224" s="3">
        <v>52</v>
      </c>
      <c r="L224" s="3">
        <v>101</v>
      </c>
      <c r="M224" s="3">
        <v>149</v>
      </c>
      <c r="N224" s="33">
        <v>148</v>
      </c>
      <c r="O224" s="18">
        <f t="shared" si="89"/>
        <v>1468</v>
      </c>
    </row>
    <row r="225" spans="1:15" ht="15.75" thickBot="1" x14ac:dyDescent="0.3">
      <c r="A225" s="1"/>
      <c r="B225" s="9" t="s">
        <v>51</v>
      </c>
      <c r="C225" s="75">
        <v>65</v>
      </c>
      <c r="D225" s="76">
        <v>94</v>
      </c>
      <c r="E225" s="76">
        <v>142</v>
      </c>
      <c r="F225" s="77">
        <v>123</v>
      </c>
      <c r="G225" s="76">
        <v>70</v>
      </c>
      <c r="H225" s="76">
        <v>72</v>
      </c>
      <c r="I225" s="76">
        <v>39</v>
      </c>
      <c r="J225" s="76">
        <v>33</v>
      </c>
      <c r="K225" s="76">
        <v>75</v>
      </c>
      <c r="L225" s="76">
        <v>180</v>
      </c>
      <c r="M225" s="76">
        <v>72</v>
      </c>
      <c r="N225" s="78">
        <v>45</v>
      </c>
      <c r="O225" s="18">
        <f t="shared" si="89"/>
        <v>1010</v>
      </c>
    </row>
    <row r="226" spans="1:15" ht="15.75" thickBot="1" x14ac:dyDescent="0.3">
      <c r="A226" s="1"/>
      <c r="B226" s="38" t="s">
        <v>21</v>
      </c>
      <c r="C226" s="70">
        <f t="shared" ref="C226:O226" si="91">+IF(C221&gt;0,C223/C221,"")</f>
        <v>3.0370370370370372</v>
      </c>
      <c r="D226" s="71">
        <f t="shared" si="91"/>
        <v>3.04</v>
      </c>
      <c r="E226" s="71">
        <f t="shared" si="91"/>
        <v>2.1785714285714284</v>
      </c>
      <c r="F226" s="71">
        <f t="shared" si="91"/>
        <v>4.2285714285714286</v>
      </c>
      <c r="G226" s="71">
        <f t="shared" si="91"/>
        <v>3.5833333333333335</v>
      </c>
      <c r="H226" s="71">
        <f t="shared" si="91"/>
        <v>3.8285714285714287</v>
      </c>
      <c r="I226" s="71">
        <f t="shared" si="91"/>
        <v>4.3703703703703702</v>
      </c>
      <c r="J226" s="71">
        <f t="shared" si="91"/>
        <v>4.1739130434782608</v>
      </c>
      <c r="K226" s="71">
        <f t="shared" si="91"/>
        <v>2.8888888888888888</v>
      </c>
      <c r="L226" s="71">
        <f t="shared" si="91"/>
        <v>3.2692307692307692</v>
      </c>
      <c r="M226" s="71">
        <f t="shared" si="91"/>
        <v>3.3333333333333335</v>
      </c>
      <c r="N226" s="73">
        <f t="shared" si="91"/>
        <v>3.84</v>
      </c>
      <c r="O226" s="47">
        <f t="shared" si="91"/>
        <v>3.5108359133126936</v>
      </c>
    </row>
    <row r="227" spans="1:15" ht="15.75" thickBot="1" x14ac:dyDescent="0.3">
      <c r="A227" s="1"/>
      <c r="B227" s="38" t="s">
        <v>23</v>
      </c>
      <c r="C227" s="42">
        <f t="shared" ref="C227:N227" si="92">+IF(C221&gt;0,C221/C219,"")</f>
        <v>2.4545454545454546</v>
      </c>
      <c r="D227" s="42">
        <f t="shared" si="92"/>
        <v>2.2727272727272729</v>
      </c>
      <c r="E227" s="42">
        <f t="shared" si="92"/>
        <v>2.5454545454545454</v>
      </c>
      <c r="F227" s="42">
        <f t="shared" si="92"/>
        <v>3.1818181818181817</v>
      </c>
      <c r="G227" s="42">
        <f t="shared" si="92"/>
        <v>2.1818181818181817</v>
      </c>
      <c r="H227" s="42">
        <f t="shared" si="92"/>
        <v>3.1818181818181817</v>
      </c>
      <c r="I227" s="42">
        <f t="shared" si="92"/>
        <v>2.4545454545454546</v>
      </c>
      <c r="J227" s="42">
        <f t="shared" si="92"/>
        <v>2.0909090909090908</v>
      </c>
      <c r="K227" s="42">
        <f t="shared" si="92"/>
        <v>1.6363636363636365</v>
      </c>
      <c r="L227" s="42">
        <f t="shared" si="92"/>
        <v>2.3636363636363638</v>
      </c>
      <c r="M227" s="42">
        <f t="shared" si="92"/>
        <v>2.7272727272727271</v>
      </c>
      <c r="N227" s="46">
        <f t="shared" si="92"/>
        <v>2.2727272727272729</v>
      </c>
      <c r="O227" s="87">
        <f>+IF(O221&gt;0,AVERAGE(C221:N221)/O219,"")</f>
        <v>2.4469696969696972</v>
      </c>
    </row>
    <row r="228" spans="1:15" ht="15.75" thickBot="1" x14ac:dyDescent="0.3">
      <c r="A228" s="1"/>
      <c r="B228" s="38" t="s">
        <v>24</v>
      </c>
      <c r="C228" s="42">
        <f t="shared" ref="C228:O228" si="93">+IF(C221&gt;0,(C222-C225)/C221,"")</f>
        <v>10.222222222222221</v>
      </c>
      <c r="D228" s="42">
        <f t="shared" si="93"/>
        <v>9</v>
      </c>
      <c r="E228" s="42">
        <f t="shared" si="93"/>
        <v>7.1071428571428568</v>
      </c>
      <c r="F228" s="42">
        <f t="shared" si="93"/>
        <v>5.9142857142857146</v>
      </c>
      <c r="G228" s="42">
        <f t="shared" si="93"/>
        <v>11.291666666666666</v>
      </c>
      <c r="H228" s="42">
        <f t="shared" si="93"/>
        <v>7.371428571428571</v>
      </c>
      <c r="I228" s="42">
        <f t="shared" si="93"/>
        <v>11.185185185185185</v>
      </c>
      <c r="J228" s="42">
        <f t="shared" si="93"/>
        <v>13.391304347826088</v>
      </c>
      <c r="K228" s="42">
        <f t="shared" si="93"/>
        <v>14.166666666666666</v>
      </c>
      <c r="L228" s="42">
        <f t="shared" si="93"/>
        <v>6.1923076923076925</v>
      </c>
      <c r="M228" s="42">
        <f t="shared" si="93"/>
        <v>8.6</v>
      </c>
      <c r="N228" s="42">
        <f t="shared" si="93"/>
        <v>11.84</v>
      </c>
      <c r="O228" s="47">
        <f t="shared" si="93"/>
        <v>9.337461300309597</v>
      </c>
    </row>
    <row r="229" spans="1:15" ht="15.75" thickBot="1" x14ac:dyDescent="0.3">
      <c r="A229" s="1"/>
      <c r="B229" s="38" t="s">
        <v>25</v>
      </c>
      <c r="C229" s="42">
        <f t="shared" ref="C229:O229" si="94">+IF(C225&gt;0,(C225/C222)*100,"")</f>
        <v>19.061583577712611</v>
      </c>
      <c r="D229" s="42">
        <f t="shared" si="94"/>
        <v>29.467084639498431</v>
      </c>
      <c r="E229" s="42">
        <f t="shared" si="94"/>
        <v>41.642228739002931</v>
      </c>
      <c r="F229" s="42">
        <f t="shared" si="94"/>
        <v>37.272727272727273</v>
      </c>
      <c r="G229" s="42">
        <f t="shared" si="94"/>
        <v>20.527859237536656</v>
      </c>
      <c r="H229" s="42">
        <f t="shared" si="94"/>
        <v>21.818181818181817</v>
      </c>
      <c r="I229" s="42">
        <f t="shared" si="94"/>
        <v>11.436950146627565</v>
      </c>
      <c r="J229" s="42">
        <f t="shared" si="94"/>
        <v>9.67741935483871</v>
      </c>
      <c r="K229" s="42">
        <f t="shared" si="94"/>
        <v>22.727272727272727</v>
      </c>
      <c r="L229" s="42">
        <f t="shared" si="94"/>
        <v>52.785923753665685</v>
      </c>
      <c r="M229" s="42">
        <f t="shared" si="94"/>
        <v>21.818181818181817</v>
      </c>
      <c r="N229" s="46">
        <f t="shared" si="94"/>
        <v>13.196480938416421</v>
      </c>
      <c r="O229" s="47">
        <f t="shared" si="94"/>
        <v>25.086934923000499</v>
      </c>
    </row>
    <row r="230" spans="1:15" ht="15.75" thickBot="1" x14ac:dyDescent="0.3">
      <c r="A230" s="1"/>
      <c r="B230" s="8" t="s">
        <v>26</v>
      </c>
      <c r="C230" s="41">
        <f>+SUM(C231:C232)</f>
        <v>0</v>
      </c>
      <c r="D230" s="41">
        <f t="shared" ref="D230:N230" si="95">+SUM(D231:D232)</f>
        <v>1</v>
      </c>
      <c r="E230" s="41">
        <f t="shared" si="95"/>
        <v>0</v>
      </c>
      <c r="F230" s="41">
        <f t="shared" si="95"/>
        <v>0</v>
      </c>
      <c r="G230" s="41">
        <f t="shared" si="95"/>
        <v>0</v>
      </c>
      <c r="H230" s="41">
        <f t="shared" si="95"/>
        <v>0</v>
      </c>
      <c r="I230" s="41">
        <f t="shared" si="95"/>
        <v>0</v>
      </c>
      <c r="J230" s="41">
        <f t="shared" si="95"/>
        <v>0</v>
      </c>
      <c r="K230" s="41">
        <f t="shared" si="95"/>
        <v>1</v>
      </c>
      <c r="L230" s="41">
        <f t="shared" si="95"/>
        <v>0</v>
      </c>
      <c r="M230" s="41">
        <f t="shared" si="95"/>
        <v>1</v>
      </c>
      <c r="N230" s="45">
        <f t="shared" si="95"/>
        <v>0</v>
      </c>
      <c r="O230" s="18">
        <f>+SUM(C230:N230)</f>
        <v>3</v>
      </c>
    </row>
    <row r="231" spans="1:15" ht="15.75" thickBot="1" x14ac:dyDescent="0.3">
      <c r="A231" s="1"/>
      <c r="B231" s="8" t="s">
        <v>52</v>
      </c>
      <c r="C231" s="32">
        <v>0</v>
      </c>
      <c r="D231" s="21">
        <v>0</v>
      </c>
      <c r="E231" s="21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1</v>
      </c>
      <c r="N231" s="33">
        <v>0</v>
      </c>
      <c r="O231" s="18">
        <f>+SUM(C231:N231)</f>
        <v>1</v>
      </c>
    </row>
    <row r="232" spans="1:15" ht="15.75" thickBot="1" x14ac:dyDescent="0.3">
      <c r="A232" s="1"/>
      <c r="B232" s="8" t="s">
        <v>53</v>
      </c>
      <c r="C232" s="32">
        <v>0</v>
      </c>
      <c r="D232" s="21">
        <v>1</v>
      </c>
      <c r="E232" s="21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1</v>
      </c>
      <c r="L232" s="3">
        <v>0</v>
      </c>
      <c r="M232" s="3">
        <v>0</v>
      </c>
      <c r="N232" s="33">
        <v>0</v>
      </c>
      <c r="O232" s="18">
        <f>+SUM(C232:N232)</f>
        <v>2</v>
      </c>
    </row>
    <row r="233" spans="1:15" ht="15.75" thickBot="1" x14ac:dyDescent="0.3">
      <c r="A233" s="1"/>
      <c r="B233" s="15" t="s">
        <v>31</v>
      </c>
      <c r="C233" s="25">
        <v>0</v>
      </c>
      <c r="D233" s="25">
        <v>0</v>
      </c>
      <c r="E233" s="25">
        <v>0</v>
      </c>
      <c r="F233" s="34">
        <v>0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34">
        <v>0</v>
      </c>
      <c r="M233" s="34">
        <v>0</v>
      </c>
      <c r="N233" s="35">
        <v>0</v>
      </c>
      <c r="O233" s="28">
        <f>+SUM(C233:N233)</f>
        <v>0</v>
      </c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</sheetData>
  <mergeCells count="20">
    <mergeCell ref="C216:M216"/>
    <mergeCell ref="N216:O216"/>
    <mergeCell ref="C143:M143"/>
    <mergeCell ref="N143:O143"/>
    <mergeCell ref="C176:M176"/>
    <mergeCell ref="N176:O176"/>
    <mergeCell ref="C196:M196"/>
    <mergeCell ref="N196:O196"/>
    <mergeCell ref="C83:M83"/>
    <mergeCell ref="N83:O83"/>
    <mergeCell ref="C103:M103"/>
    <mergeCell ref="N103:O103"/>
    <mergeCell ref="C123:M123"/>
    <mergeCell ref="N123:O123"/>
    <mergeCell ref="C2:M2"/>
    <mergeCell ref="N2:O2"/>
    <mergeCell ref="C41:M41"/>
    <mergeCell ref="N41:O41"/>
    <mergeCell ref="C63:M63"/>
    <mergeCell ref="N63:O6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38"/>
  <sheetViews>
    <sheetView workbookViewId="0">
      <selection activeCell="O33" sqref="O33"/>
    </sheetView>
  </sheetViews>
  <sheetFormatPr baseColWidth="10" defaultRowHeight="15" x14ac:dyDescent="0.25"/>
  <cols>
    <col min="1" max="1" width="3.42578125" customWidth="1"/>
    <col min="2" max="2" width="31.140625" bestFit="1" customWidth="1"/>
    <col min="3" max="14" width="10.5703125" customWidth="1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" thickBot="1" x14ac:dyDescent="0.3">
      <c r="A2" s="1"/>
      <c r="B2" s="1"/>
      <c r="C2" s="196" t="s">
        <v>0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6">
        <f>+[3]INICIO!I4</f>
        <v>2017</v>
      </c>
      <c r="O2" s="198"/>
    </row>
    <row r="3" spans="1:15" ht="15.75" thickBot="1" x14ac:dyDescent="0.3">
      <c r="A3" s="1"/>
      <c r="B3" s="1"/>
      <c r="C3" s="39">
        <v>31</v>
      </c>
      <c r="D3" s="39">
        <v>28</v>
      </c>
      <c r="E3" s="39">
        <v>31</v>
      </c>
      <c r="F3" s="39">
        <v>30</v>
      </c>
      <c r="G3" s="39">
        <v>31</v>
      </c>
      <c r="H3" s="39">
        <v>30</v>
      </c>
      <c r="I3" s="39">
        <v>31</v>
      </c>
      <c r="J3" s="39">
        <v>31</v>
      </c>
      <c r="K3" s="39">
        <v>30</v>
      </c>
      <c r="L3" s="39">
        <v>31</v>
      </c>
      <c r="M3" s="39">
        <v>30</v>
      </c>
      <c r="N3" s="39">
        <v>31</v>
      </c>
      <c r="O3" s="86">
        <f>+O42+O64+O84+O104+O124+O144+O177</f>
        <v>176</v>
      </c>
    </row>
    <row r="4" spans="1:15" ht="15.75" thickBot="1" x14ac:dyDescent="0.3">
      <c r="A4" s="1"/>
      <c r="B4" s="5"/>
      <c r="C4" s="83" t="s">
        <v>1</v>
      </c>
      <c r="D4" s="84" t="s">
        <v>2</v>
      </c>
      <c r="E4" s="84" t="s">
        <v>3</v>
      </c>
      <c r="F4" s="84" t="s">
        <v>4</v>
      </c>
      <c r="G4" s="84" t="s">
        <v>5</v>
      </c>
      <c r="H4" s="84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5" t="s">
        <v>12</v>
      </c>
      <c r="O4" s="19" t="s">
        <v>13</v>
      </c>
    </row>
    <row r="5" spans="1:15" ht="15.75" thickBot="1" x14ac:dyDescent="0.3">
      <c r="A5" s="1"/>
      <c r="B5" s="59" t="s">
        <v>14</v>
      </c>
      <c r="C5" s="63">
        <f t="shared" ref="C5:N5" si="0">+C44+C66+C86+C106+C126+C146+C179</f>
        <v>166</v>
      </c>
      <c r="D5" s="72">
        <f t="shared" si="0"/>
        <v>164</v>
      </c>
      <c r="E5" s="72">
        <f t="shared" si="0"/>
        <v>166</v>
      </c>
      <c r="F5" s="72">
        <f t="shared" si="0"/>
        <v>166</v>
      </c>
      <c r="G5" s="72">
        <f t="shared" si="0"/>
        <v>165</v>
      </c>
      <c r="H5" s="72">
        <f t="shared" si="0"/>
        <v>166</v>
      </c>
      <c r="I5" s="72">
        <f t="shared" si="0"/>
        <v>165</v>
      </c>
      <c r="J5" s="72">
        <f t="shared" si="0"/>
        <v>161</v>
      </c>
      <c r="K5" s="72">
        <f t="shared" si="0"/>
        <v>167</v>
      </c>
      <c r="L5" s="72">
        <f t="shared" si="0"/>
        <v>166</v>
      </c>
      <c r="M5" s="72">
        <f t="shared" si="0"/>
        <v>165</v>
      </c>
      <c r="N5" s="108">
        <f t="shared" si="0"/>
        <v>164</v>
      </c>
      <c r="O5" s="109">
        <f>+AVERAGE(C5:N5)</f>
        <v>165.08333333333334</v>
      </c>
    </row>
    <row r="6" spans="1:15" ht="15.75" thickBot="1" x14ac:dyDescent="0.3">
      <c r="A6" s="1"/>
      <c r="B6" s="60" t="s">
        <v>15</v>
      </c>
      <c r="C6" s="20">
        <f t="shared" ref="C6:N6" si="1">+C45+C67+C87+C107+C127+C147+C180</f>
        <v>900</v>
      </c>
      <c r="D6" s="21">
        <f t="shared" si="1"/>
        <v>793</v>
      </c>
      <c r="E6" s="21">
        <f t="shared" si="1"/>
        <v>854</v>
      </c>
      <c r="F6" s="21">
        <f t="shared" si="1"/>
        <v>872</v>
      </c>
      <c r="G6" s="21">
        <f t="shared" si="1"/>
        <v>847</v>
      </c>
      <c r="H6" s="21">
        <f t="shared" si="1"/>
        <v>786</v>
      </c>
      <c r="I6" s="21">
        <f t="shared" si="1"/>
        <v>714</v>
      </c>
      <c r="J6" s="21">
        <f t="shared" si="1"/>
        <v>742</v>
      </c>
      <c r="K6" s="21">
        <f t="shared" si="1"/>
        <v>837</v>
      </c>
      <c r="L6" s="21">
        <f t="shared" si="1"/>
        <v>860</v>
      </c>
      <c r="M6" s="21">
        <f t="shared" si="1"/>
        <v>747</v>
      </c>
      <c r="N6" s="110">
        <f t="shared" si="1"/>
        <v>710</v>
      </c>
      <c r="O6" s="111">
        <f t="shared" ref="O6:O35" si="2">+SUM(C6:N6)</f>
        <v>9662</v>
      </c>
    </row>
    <row r="7" spans="1:15" ht="15.75" thickBot="1" x14ac:dyDescent="0.3">
      <c r="A7" s="1"/>
      <c r="B7" s="60" t="s">
        <v>16</v>
      </c>
      <c r="C7" s="20">
        <f t="shared" ref="C7:N7" si="3">+C46+C68+C88+C108+C128+C148+C181</f>
        <v>869</v>
      </c>
      <c r="D7" s="21">
        <f t="shared" si="3"/>
        <v>764</v>
      </c>
      <c r="E7" s="21">
        <f t="shared" si="3"/>
        <v>885</v>
      </c>
      <c r="F7" s="21">
        <f t="shared" si="3"/>
        <v>875</v>
      </c>
      <c r="G7" s="21">
        <f t="shared" si="3"/>
        <v>821</v>
      </c>
      <c r="H7" s="21">
        <f t="shared" si="3"/>
        <v>791</v>
      </c>
      <c r="I7" s="21">
        <f t="shared" si="3"/>
        <v>714</v>
      </c>
      <c r="J7" s="21">
        <f t="shared" si="3"/>
        <v>725</v>
      </c>
      <c r="K7" s="21">
        <f t="shared" si="3"/>
        <v>836</v>
      </c>
      <c r="L7" s="21">
        <f t="shared" si="3"/>
        <v>857</v>
      </c>
      <c r="M7" s="21">
        <f t="shared" si="3"/>
        <v>754</v>
      </c>
      <c r="N7" s="110">
        <f t="shared" si="3"/>
        <v>740</v>
      </c>
      <c r="O7" s="111">
        <f t="shared" si="2"/>
        <v>9631</v>
      </c>
    </row>
    <row r="8" spans="1:15" ht="15.75" thickBot="1" x14ac:dyDescent="0.3">
      <c r="A8" s="1"/>
      <c r="B8" s="59" t="s">
        <v>17</v>
      </c>
      <c r="C8" s="64">
        <f t="shared" ref="C8:N8" si="4">+C5*C3</f>
        <v>5146</v>
      </c>
      <c r="D8" s="43">
        <f t="shared" si="4"/>
        <v>4592</v>
      </c>
      <c r="E8" s="43">
        <f t="shared" si="4"/>
        <v>5146</v>
      </c>
      <c r="F8" s="43">
        <f t="shared" si="4"/>
        <v>4980</v>
      </c>
      <c r="G8" s="43">
        <f t="shared" si="4"/>
        <v>5115</v>
      </c>
      <c r="H8" s="43">
        <f t="shared" si="4"/>
        <v>4980</v>
      </c>
      <c r="I8" s="43">
        <f t="shared" si="4"/>
        <v>5115</v>
      </c>
      <c r="J8" s="43">
        <f t="shared" si="4"/>
        <v>4991</v>
      </c>
      <c r="K8" s="43">
        <f t="shared" si="4"/>
        <v>5010</v>
      </c>
      <c r="L8" s="43">
        <f t="shared" si="4"/>
        <v>5146</v>
      </c>
      <c r="M8" s="43">
        <f t="shared" si="4"/>
        <v>4950</v>
      </c>
      <c r="N8" s="112">
        <f t="shared" si="4"/>
        <v>5084</v>
      </c>
      <c r="O8" s="111">
        <f t="shared" si="2"/>
        <v>60255</v>
      </c>
    </row>
    <row r="9" spans="1:15" ht="15.75" thickBot="1" x14ac:dyDescent="0.3">
      <c r="A9" s="1"/>
      <c r="B9" s="59" t="s">
        <v>18</v>
      </c>
      <c r="C9" s="20">
        <f t="shared" ref="C9:N9" si="5">+C48+C70+C90+C110+C130+C150+C183</f>
        <v>2818</v>
      </c>
      <c r="D9" s="21">
        <f t="shared" si="5"/>
        <v>2164</v>
      </c>
      <c r="E9" s="21">
        <f t="shared" si="5"/>
        <v>3052</v>
      </c>
      <c r="F9" s="21">
        <f t="shared" si="5"/>
        <v>2646</v>
      </c>
      <c r="G9" s="21">
        <f t="shared" si="5"/>
        <v>2514</v>
      </c>
      <c r="H9" s="21">
        <f t="shared" si="5"/>
        <v>2479</v>
      </c>
      <c r="I9" s="21">
        <f t="shared" si="5"/>
        <v>2470</v>
      </c>
      <c r="J9" s="21">
        <f t="shared" si="5"/>
        <v>2497</v>
      </c>
      <c r="K9" s="21">
        <f t="shared" si="5"/>
        <v>2685</v>
      </c>
      <c r="L9" s="21">
        <f t="shared" si="5"/>
        <v>2745</v>
      </c>
      <c r="M9" s="21">
        <f t="shared" si="5"/>
        <v>2487</v>
      </c>
      <c r="N9" s="110">
        <f t="shared" si="5"/>
        <v>2473</v>
      </c>
      <c r="O9" s="111">
        <f t="shared" si="2"/>
        <v>31030</v>
      </c>
    </row>
    <row r="10" spans="1:15" ht="15.75" thickBot="1" x14ac:dyDescent="0.3">
      <c r="A10" s="1"/>
      <c r="B10" s="59" t="s">
        <v>19</v>
      </c>
      <c r="C10" s="20">
        <f t="shared" ref="C10:N10" si="6">+C49+C71+C91+C111+C131+C151+C184</f>
        <v>3151</v>
      </c>
      <c r="D10" s="21">
        <f t="shared" si="6"/>
        <v>2492</v>
      </c>
      <c r="E10" s="21">
        <f t="shared" si="6"/>
        <v>3661</v>
      </c>
      <c r="F10" s="21">
        <f t="shared" si="6"/>
        <v>2886</v>
      </c>
      <c r="G10" s="21">
        <f t="shared" si="6"/>
        <v>2845</v>
      </c>
      <c r="H10" s="21">
        <f t="shared" si="6"/>
        <v>3179</v>
      </c>
      <c r="I10" s="21">
        <f t="shared" si="6"/>
        <v>2994</v>
      </c>
      <c r="J10" s="21">
        <f t="shared" si="6"/>
        <v>3106</v>
      </c>
      <c r="K10" s="21">
        <f t="shared" si="6"/>
        <v>3171</v>
      </c>
      <c r="L10" s="21">
        <f t="shared" si="6"/>
        <v>3434</v>
      </c>
      <c r="M10" s="21">
        <f t="shared" si="6"/>
        <v>3050</v>
      </c>
      <c r="N10" s="110">
        <f t="shared" si="6"/>
        <v>2961</v>
      </c>
      <c r="O10" s="111">
        <f t="shared" si="2"/>
        <v>36930</v>
      </c>
    </row>
    <row r="11" spans="1:15" ht="15.75" thickBot="1" x14ac:dyDescent="0.3">
      <c r="A11" s="1"/>
      <c r="B11" s="59" t="s">
        <v>20</v>
      </c>
      <c r="C11" s="79">
        <f t="shared" ref="C11:N11" si="7">+C50+C72+C92+C112+C132+C152+C185</f>
        <v>3319</v>
      </c>
      <c r="D11" s="76">
        <f t="shared" si="7"/>
        <v>2955</v>
      </c>
      <c r="E11" s="76">
        <f t="shared" si="7"/>
        <v>3515</v>
      </c>
      <c r="F11" s="76">
        <f t="shared" si="7"/>
        <v>3288</v>
      </c>
      <c r="G11" s="76">
        <f t="shared" si="7"/>
        <v>3384</v>
      </c>
      <c r="H11" s="76">
        <f t="shared" si="7"/>
        <v>3397</v>
      </c>
      <c r="I11" s="76">
        <f t="shared" si="7"/>
        <v>3509</v>
      </c>
      <c r="J11" s="76">
        <f t="shared" si="7"/>
        <v>3722</v>
      </c>
      <c r="K11" s="76">
        <f t="shared" si="7"/>
        <v>3318</v>
      </c>
      <c r="L11" s="76">
        <f t="shared" si="7"/>
        <v>3302</v>
      </c>
      <c r="M11" s="76">
        <f t="shared" si="7"/>
        <v>2808</v>
      </c>
      <c r="N11" s="113">
        <f t="shared" si="7"/>
        <v>2758</v>
      </c>
      <c r="O11" s="114">
        <f t="shared" si="2"/>
        <v>39275</v>
      </c>
    </row>
    <row r="12" spans="1:15" ht="15.75" thickBot="1" x14ac:dyDescent="0.3">
      <c r="A12" s="1"/>
      <c r="B12" s="61" t="s">
        <v>21</v>
      </c>
      <c r="C12" s="70">
        <f>+IF(C7&gt;0,C9/C7,"")</f>
        <v>3.2428078250863059</v>
      </c>
      <c r="D12" s="71">
        <f t="shared" ref="D12:O12" si="8">+IF(D7&gt;0,D9/D7,"")</f>
        <v>2.832460732984293</v>
      </c>
      <c r="E12" s="71">
        <f t="shared" si="8"/>
        <v>3.448587570621469</v>
      </c>
      <c r="F12" s="71">
        <f t="shared" si="8"/>
        <v>3.024</v>
      </c>
      <c r="G12" s="71">
        <f t="shared" si="8"/>
        <v>3.062119366626066</v>
      </c>
      <c r="H12" s="71">
        <f t="shared" si="8"/>
        <v>3.1340075853350191</v>
      </c>
      <c r="I12" s="71">
        <f t="shared" si="8"/>
        <v>3.4593837535014007</v>
      </c>
      <c r="J12" s="71">
        <f t="shared" si="8"/>
        <v>3.4441379310344828</v>
      </c>
      <c r="K12" s="71">
        <f t="shared" si="8"/>
        <v>3.2117224880382773</v>
      </c>
      <c r="L12" s="71">
        <f t="shared" si="8"/>
        <v>3.2030338389731621</v>
      </c>
      <c r="M12" s="71">
        <f t="shared" si="8"/>
        <v>3.2984084880636604</v>
      </c>
      <c r="N12" s="73">
        <f t="shared" si="8"/>
        <v>3.3418918918918918</v>
      </c>
      <c r="O12" s="115">
        <f t="shared" si="8"/>
        <v>3.2218876544491746</v>
      </c>
    </row>
    <row r="13" spans="1:15" ht="15.75" thickBot="1" x14ac:dyDescent="0.3">
      <c r="A13" s="1"/>
      <c r="B13" s="61" t="s">
        <v>23</v>
      </c>
      <c r="C13" s="70">
        <f t="shared" ref="C13:N13" si="9">+IF(C7&gt;0,C7/C5,"")</f>
        <v>5.2349397590361448</v>
      </c>
      <c r="D13" s="71">
        <f t="shared" si="9"/>
        <v>4.6585365853658534</v>
      </c>
      <c r="E13" s="71">
        <f t="shared" si="9"/>
        <v>5.331325301204819</v>
      </c>
      <c r="F13" s="71">
        <f t="shared" si="9"/>
        <v>5.2710843373493974</v>
      </c>
      <c r="G13" s="71">
        <f t="shared" si="9"/>
        <v>4.9757575757575756</v>
      </c>
      <c r="H13" s="71">
        <f t="shared" si="9"/>
        <v>4.7650602409638552</v>
      </c>
      <c r="I13" s="71">
        <f t="shared" si="9"/>
        <v>4.3272727272727272</v>
      </c>
      <c r="J13" s="71">
        <f t="shared" si="9"/>
        <v>4.5031055900621118</v>
      </c>
      <c r="K13" s="71">
        <f t="shared" si="9"/>
        <v>5.0059880239520957</v>
      </c>
      <c r="L13" s="71">
        <f t="shared" si="9"/>
        <v>5.1626506024096388</v>
      </c>
      <c r="M13" s="71">
        <f t="shared" si="9"/>
        <v>4.5696969696969694</v>
      </c>
      <c r="N13" s="73">
        <f t="shared" si="9"/>
        <v>4.5121951219512191</v>
      </c>
      <c r="O13" s="116">
        <f>+IF(O7&gt;0,AVERAGE(C7:N7)/O5,"")</f>
        <v>4.8616860171630485</v>
      </c>
    </row>
    <row r="14" spans="1:15" ht="15.75" thickBot="1" x14ac:dyDescent="0.3">
      <c r="A14" s="1"/>
      <c r="B14" s="61" t="s">
        <v>24</v>
      </c>
      <c r="C14" s="70">
        <f t="shared" ref="C14:N14" si="10">+IF(C7&gt;0,(C8-C11)/C7,"")</f>
        <v>2.102416570771001</v>
      </c>
      <c r="D14" s="71">
        <f t="shared" si="10"/>
        <v>2.1426701570680629</v>
      </c>
      <c r="E14" s="71">
        <f t="shared" si="10"/>
        <v>1.8429378531073446</v>
      </c>
      <c r="F14" s="71">
        <f t="shared" si="10"/>
        <v>1.9337142857142857</v>
      </c>
      <c r="G14" s="71">
        <f t="shared" si="10"/>
        <v>2.1084043848964678</v>
      </c>
      <c r="H14" s="71">
        <f t="shared" si="10"/>
        <v>2.0012642225031607</v>
      </c>
      <c r="I14" s="71">
        <f t="shared" si="10"/>
        <v>2.2492997198879552</v>
      </c>
      <c r="J14" s="71">
        <f t="shared" si="10"/>
        <v>1.7503448275862068</v>
      </c>
      <c r="K14" s="71">
        <f t="shared" si="10"/>
        <v>2.0239234449760763</v>
      </c>
      <c r="L14" s="71">
        <f t="shared" si="10"/>
        <v>2.1516919486581099</v>
      </c>
      <c r="M14" s="71">
        <f t="shared" si="10"/>
        <v>2.8408488063660475</v>
      </c>
      <c r="N14" s="73">
        <f t="shared" si="10"/>
        <v>3.1432432432432433</v>
      </c>
      <c r="O14" s="115">
        <f>+IF(O7&gt;0,(O8-O11)/O7,"")</f>
        <v>2.1783823071332158</v>
      </c>
    </row>
    <row r="15" spans="1:15" ht="15.75" thickBot="1" x14ac:dyDescent="0.3">
      <c r="A15" s="1"/>
      <c r="B15" s="61" t="s">
        <v>25</v>
      </c>
      <c r="C15" s="70">
        <f>+IF(C11&gt;0,(C11/C8)*100,"")</f>
        <v>64.496696463272443</v>
      </c>
      <c r="D15" s="71">
        <f t="shared" ref="D15:O15" si="11">+IF(D11&gt;0,(D11/D8)*100,"")</f>
        <v>64.351045296167243</v>
      </c>
      <c r="E15" s="71">
        <f t="shared" si="11"/>
        <v>68.305479984453939</v>
      </c>
      <c r="F15" s="71">
        <f t="shared" si="11"/>
        <v>66.024096385542165</v>
      </c>
      <c r="G15" s="71">
        <f t="shared" si="11"/>
        <v>66.158357771260995</v>
      </c>
      <c r="H15" s="71">
        <f t="shared" si="11"/>
        <v>68.212851405622487</v>
      </c>
      <c r="I15" s="71">
        <f t="shared" si="11"/>
        <v>68.602150537634415</v>
      </c>
      <c r="J15" s="71">
        <f t="shared" si="11"/>
        <v>74.574233620516921</v>
      </c>
      <c r="K15" s="71">
        <f t="shared" si="11"/>
        <v>66.227544910179631</v>
      </c>
      <c r="L15" s="71">
        <f t="shared" si="11"/>
        <v>64.166342790516907</v>
      </c>
      <c r="M15" s="71">
        <f t="shared" si="11"/>
        <v>56.727272727272727</v>
      </c>
      <c r="N15" s="73">
        <f t="shared" si="11"/>
        <v>54.248623131392606</v>
      </c>
      <c r="O15" s="115">
        <f t="shared" si="11"/>
        <v>65.181312754128285</v>
      </c>
    </row>
    <row r="16" spans="1:15" ht="15.75" thickBot="1" x14ac:dyDescent="0.3">
      <c r="A16" s="1"/>
      <c r="B16" s="59" t="s">
        <v>26</v>
      </c>
      <c r="C16" s="64">
        <f>+SUM(C17:C18)</f>
        <v>12</v>
      </c>
      <c r="D16" s="43">
        <f t="shared" ref="D16:N16" si="12">+SUM(D17:D18)</f>
        <v>11</v>
      </c>
      <c r="E16" s="43">
        <f t="shared" si="12"/>
        <v>22</v>
      </c>
      <c r="F16" s="43">
        <f t="shared" si="12"/>
        <v>19</v>
      </c>
      <c r="G16" s="43">
        <f t="shared" si="12"/>
        <v>15</v>
      </c>
      <c r="H16" s="43">
        <f t="shared" si="12"/>
        <v>11</v>
      </c>
      <c r="I16" s="43">
        <f t="shared" si="12"/>
        <v>15</v>
      </c>
      <c r="J16" s="43">
        <f t="shared" si="12"/>
        <v>21</v>
      </c>
      <c r="K16" s="43">
        <f t="shared" si="12"/>
        <v>31</v>
      </c>
      <c r="L16" s="43">
        <f t="shared" si="12"/>
        <v>21</v>
      </c>
      <c r="M16" s="43">
        <f t="shared" si="12"/>
        <v>16</v>
      </c>
      <c r="N16" s="112">
        <f t="shared" si="12"/>
        <v>9</v>
      </c>
      <c r="O16" s="111">
        <f t="shared" si="2"/>
        <v>203</v>
      </c>
    </row>
    <row r="17" spans="1:15" ht="15.75" thickBot="1" x14ac:dyDescent="0.3">
      <c r="A17" s="1"/>
      <c r="B17" s="59" t="s">
        <v>27</v>
      </c>
      <c r="C17" s="22">
        <f t="shared" ref="C17:N17" si="13">+C56+C78+C98+C118+C138+C158+C191</f>
        <v>10</v>
      </c>
      <c r="D17" s="23">
        <f t="shared" si="13"/>
        <v>7</v>
      </c>
      <c r="E17" s="23">
        <f t="shared" si="13"/>
        <v>14</v>
      </c>
      <c r="F17" s="23">
        <f t="shared" si="13"/>
        <v>11</v>
      </c>
      <c r="G17" s="23">
        <f t="shared" si="13"/>
        <v>7</v>
      </c>
      <c r="H17" s="23">
        <f t="shared" si="13"/>
        <v>7</v>
      </c>
      <c r="I17" s="23">
        <f t="shared" si="13"/>
        <v>10</v>
      </c>
      <c r="J17" s="23">
        <f t="shared" si="13"/>
        <v>10</v>
      </c>
      <c r="K17" s="23">
        <f t="shared" si="13"/>
        <v>25</v>
      </c>
      <c r="L17" s="23">
        <f t="shared" si="13"/>
        <v>15</v>
      </c>
      <c r="M17" s="23">
        <f t="shared" si="13"/>
        <v>11</v>
      </c>
      <c r="N17" s="117">
        <f t="shared" si="13"/>
        <v>4</v>
      </c>
      <c r="O17" s="111">
        <f t="shared" si="2"/>
        <v>131</v>
      </c>
    </row>
    <row r="18" spans="1:15" ht="15.75" thickBot="1" x14ac:dyDescent="0.3">
      <c r="A18" s="1"/>
      <c r="B18" s="59" t="s">
        <v>28</v>
      </c>
      <c r="C18" s="22">
        <f t="shared" ref="C18:N18" si="14">+C57+C79+C99+C119+C139+C159+C192</f>
        <v>2</v>
      </c>
      <c r="D18" s="23">
        <f t="shared" si="14"/>
        <v>4</v>
      </c>
      <c r="E18" s="23">
        <f t="shared" si="14"/>
        <v>8</v>
      </c>
      <c r="F18" s="23">
        <f t="shared" si="14"/>
        <v>8</v>
      </c>
      <c r="G18" s="23">
        <f t="shared" si="14"/>
        <v>8</v>
      </c>
      <c r="H18" s="23">
        <f t="shared" si="14"/>
        <v>4</v>
      </c>
      <c r="I18" s="23">
        <f t="shared" si="14"/>
        <v>5</v>
      </c>
      <c r="J18" s="23">
        <f t="shared" si="14"/>
        <v>11</v>
      </c>
      <c r="K18" s="23">
        <f t="shared" si="14"/>
        <v>6</v>
      </c>
      <c r="L18" s="23">
        <f t="shared" si="14"/>
        <v>6</v>
      </c>
      <c r="M18" s="23">
        <f t="shared" si="14"/>
        <v>5</v>
      </c>
      <c r="N18" s="117">
        <f t="shared" si="14"/>
        <v>5</v>
      </c>
      <c r="O18" s="111">
        <f t="shared" si="2"/>
        <v>72</v>
      </c>
    </row>
    <row r="19" spans="1:15" ht="15.75" thickBot="1" x14ac:dyDescent="0.3">
      <c r="A19" s="1"/>
      <c r="B19" s="61" t="s">
        <v>29</v>
      </c>
      <c r="C19" s="70">
        <f t="shared" ref="C19:O19" si="15">+IF(C7&gt;0,(C16/C7)*100,"")</f>
        <v>1.380897583429229</v>
      </c>
      <c r="D19" s="71">
        <f t="shared" si="15"/>
        <v>1.4397905759162304</v>
      </c>
      <c r="E19" s="71">
        <f t="shared" si="15"/>
        <v>2.4858757062146895</v>
      </c>
      <c r="F19" s="71">
        <f t="shared" si="15"/>
        <v>2.1714285714285713</v>
      </c>
      <c r="G19" s="71">
        <f t="shared" si="15"/>
        <v>1.8270401948842874</v>
      </c>
      <c r="H19" s="71">
        <f t="shared" si="15"/>
        <v>1.390644753476612</v>
      </c>
      <c r="I19" s="71">
        <f t="shared" si="15"/>
        <v>2.1008403361344539</v>
      </c>
      <c r="J19" s="71">
        <f t="shared" si="15"/>
        <v>2.896551724137931</v>
      </c>
      <c r="K19" s="71">
        <f t="shared" si="15"/>
        <v>3.7081339712918657</v>
      </c>
      <c r="L19" s="71">
        <f t="shared" si="15"/>
        <v>2.4504084014002334</v>
      </c>
      <c r="M19" s="71">
        <f t="shared" si="15"/>
        <v>2.1220159151193632</v>
      </c>
      <c r="N19" s="73">
        <f t="shared" si="15"/>
        <v>1.2162162162162162</v>
      </c>
      <c r="O19" s="115">
        <f t="shared" si="15"/>
        <v>2.1077769702003946</v>
      </c>
    </row>
    <row r="20" spans="1:15" ht="15.75" thickBot="1" x14ac:dyDescent="0.3">
      <c r="A20" s="1"/>
      <c r="B20" s="61" t="s">
        <v>30</v>
      </c>
      <c r="C20" s="70">
        <f t="shared" ref="C20:O20" si="16">+IF(C7&gt;0,(C17/C7)*100,"")</f>
        <v>1.1507479861910241</v>
      </c>
      <c r="D20" s="71">
        <f t="shared" si="16"/>
        <v>0.91623036649214651</v>
      </c>
      <c r="E20" s="71">
        <f t="shared" si="16"/>
        <v>1.5819209039548021</v>
      </c>
      <c r="F20" s="71">
        <f t="shared" si="16"/>
        <v>1.2571428571428571</v>
      </c>
      <c r="G20" s="71">
        <f t="shared" si="16"/>
        <v>0.85261875761266748</v>
      </c>
      <c r="H20" s="71">
        <f t="shared" si="16"/>
        <v>0.88495575221238942</v>
      </c>
      <c r="I20" s="71">
        <f t="shared" si="16"/>
        <v>1.400560224089636</v>
      </c>
      <c r="J20" s="71">
        <f t="shared" si="16"/>
        <v>1.3793103448275863</v>
      </c>
      <c r="K20" s="71">
        <f t="shared" si="16"/>
        <v>2.9904306220095696</v>
      </c>
      <c r="L20" s="71">
        <f t="shared" si="16"/>
        <v>1.7502917152858808</v>
      </c>
      <c r="M20" s="71">
        <f t="shared" si="16"/>
        <v>1.4588859416445623</v>
      </c>
      <c r="N20" s="73">
        <f t="shared" si="16"/>
        <v>0.54054054054054057</v>
      </c>
      <c r="O20" s="115">
        <f t="shared" si="16"/>
        <v>1.3601910497352301</v>
      </c>
    </row>
    <row r="21" spans="1:15" ht="15.75" thickBot="1" x14ac:dyDescent="0.3">
      <c r="A21" s="1"/>
      <c r="B21" s="59" t="s">
        <v>31</v>
      </c>
      <c r="C21" s="22">
        <f t="shared" ref="C21:N21" si="17">+C60+C80+C100+C120+C140+C160+C193</f>
        <v>2</v>
      </c>
      <c r="D21" s="23">
        <f t="shared" si="17"/>
        <v>4</v>
      </c>
      <c r="E21" s="23">
        <f t="shared" si="17"/>
        <v>4</v>
      </c>
      <c r="F21" s="23">
        <f t="shared" si="17"/>
        <v>5</v>
      </c>
      <c r="G21" s="23">
        <f t="shared" si="17"/>
        <v>0</v>
      </c>
      <c r="H21" s="23">
        <f t="shared" si="17"/>
        <v>3</v>
      </c>
      <c r="I21" s="23">
        <f t="shared" si="17"/>
        <v>4</v>
      </c>
      <c r="J21" s="23">
        <f t="shared" si="17"/>
        <v>6</v>
      </c>
      <c r="K21" s="23">
        <f t="shared" si="17"/>
        <v>4</v>
      </c>
      <c r="L21" s="23">
        <f t="shared" si="17"/>
        <v>0</v>
      </c>
      <c r="M21" s="23">
        <f t="shared" si="17"/>
        <v>0</v>
      </c>
      <c r="N21" s="117">
        <f t="shared" si="17"/>
        <v>0</v>
      </c>
      <c r="O21" s="111">
        <f t="shared" si="2"/>
        <v>32</v>
      </c>
    </row>
    <row r="22" spans="1:15" ht="15.75" thickBot="1" x14ac:dyDescent="0.3">
      <c r="A22" s="1"/>
      <c r="B22" s="61" t="s">
        <v>32</v>
      </c>
      <c r="C22" s="70">
        <f t="shared" ref="C22:O22" si="18">+IF(C7&gt;0,(C21/C7)*100,"")</f>
        <v>0.23014959723820483</v>
      </c>
      <c r="D22" s="71">
        <f t="shared" si="18"/>
        <v>0.52356020942408377</v>
      </c>
      <c r="E22" s="71">
        <f t="shared" si="18"/>
        <v>0.4519774011299435</v>
      </c>
      <c r="F22" s="71">
        <f t="shared" si="18"/>
        <v>0.5714285714285714</v>
      </c>
      <c r="G22" s="71">
        <f t="shared" si="18"/>
        <v>0</v>
      </c>
      <c r="H22" s="71">
        <f t="shared" si="18"/>
        <v>0.37926675094816686</v>
      </c>
      <c r="I22" s="71">
        <f t="shared" si="18"/>
        <v>0.56022408963585435</v>
      </c>
      <c r="J22" s="71">
        <f t="shared" si="18"/>
        <v>0.82758620689655171</v>
      </c>
      <c r="K22" s="71">
        <f t="shared" si="18"/>
        <v>0.4784688995215311</v>
      </c>
      <c r="L22" s="71">
        <f t="shared" si="18"/>
        <v>0</v>
      </c>
      <c r="M22" s="71">
        <f t="shared" si="18"/>
        <v>0</v>
      </c>
      <c r="N22" s="73">
        <f t="shared" si="18"/>
        <v>0</v>
      </c>
      <c r="O22" s="115">
        <f t="shared" si="18"/>
        <v>0.33226040909562871</v>
      </c>
    </row>
    <row r="23" spans="1:15" ht="15.75" thickBot="1" x14ac:dyDescent="0.3">
      <c r="A23" s="1"/>
      <c r="B23" s="59" t="s">
        <v>33</v>
      </c>
      <c r="C23" s="22">
        <f>+C161</f>
        <v>277</v>
      </c>
      <c r="D23" s="23">
        <f t="shared" ref="D23:N23" si="19">+D161</f>
        <v>263</v>
      </c>
      <c r="E23" s="23">
        <f t="shared" si="19"/>
        <v>267</v>
      </c>
      <c r="F23" s="23">
        <f t="shared" si="19"/>
        <v>285</v>
      </c>
      <c r="G23" s="23">
        <f t="shared" si="19"/>
        <v>286</v>
      </c>
      <c r="H23" s="23">
        <f t="shared" si="19"/>
        <v>236</v>
      </c>
      <c r="I23" s="23">
        <f t="shared" si="19"/>
        <v>260</v>
      </c>
      <c r="J23" s="23">
        <f t="shared" si="19"/>
        <v>241</v>
      </c>
      <c r="K23" s="23">
        <f t="shared" si="19"/>
        <v>266</v>
      </c>
      <c r="L23" s="23">
        <f t="shared" si="19"/>
        <v>226</v>
      </c>
      <c r="M23" s="23">
        <f t="shared" si="19"/>
        <v>208</v>
      </c>
      <c r="N23" s="117">
        <f t="shared" si="19"/>
        <v>230</v>
      </c>
      <c r="O23" s="111">
        <f t="shared" si="2"/>
        <v>3045</v>
      </c>
    </row>
    <row r="24" spans="1:15" ht="15.75" thickBot="1" x14ac:dyDescent="0.3">
      <c r="A24" s="1"/>
      <c r="B24" s="59" t="s">
        <v>34</v>
      </c>
      <c r="C24" s="22">
        <f t="shared" ref="C24:N35" si="20">+C162</f>
        <v>278</v>
      </c>
      <c r="D24" s="23">
        <f t="shared" si="20"/>
        <v>265</v>
      </c>
      <c r="E24" s="23">
        <f t="shared" si="20"/>
        <v>268</v>
      </c>
      <c r="F24" s="23">
        <f t="shared" si="20"/>
        <v>280</v>
      </c>
      <c r="G24" s="23">
        <f t="shared" si="20"/>
        <v>287</v>
      </c>
      <c r="H24" s="23">
        <f t="shared" si="20"/>
        <v>235</v>
      </c>
      <c r="I24" s="23">
        <f t="shared" si="20"/>
        <v>265</v>
      </c>
      <c r="J24" s="23">
        <f t="shared" si="20"/>
        <v>240</v>
      </c>
      <c r="K24" s="23">
        <f t="shared" si="20"/>
        <v>265</v>
      </c>
      <c r="L24" s="23">
        <f t="shared" si="20"/>
        <v>228</v>
      </c>
      <c r="M24" s="23">
        <f t="shared" si="20"/>
        <v>208</v>
      </c>
      <c r="N24" s="117">
        <f t="shared" si="20"/>
        <v>226</v>
      </c>
      <c r="O24" s="111">
        <f t="shared" si="2"/>
        <v>3045</v>
      </c>
    </row>
    <row r="25" spans="1:15" ht="15.75" thickBot="1" x14ac:dyDescent="0.3">
      <c r="A25" s="1"/>
      <c r="B25" s="59" t="s">
        <v>35</v>
      </c>
      <c r="C25" s="22">
        <f t="shared" si="20"/>
        <v>62</v>
      </c>
      <c r="D25" s="23">
        <f t="shared" si="20"/>
        <v>69</v>
      </c>
      <c r="E25" s="23">
        <f t="shared" si="20"/>
        <v>66</v>
      </c>
      <c r="F25" s="23">
        <f t="shared" si="20"/>
        <v>47</v>
      </c>
      <c r="G25" s="23">
        <f t="shared" si="20"/>
        <v>41</v>
      </c>
      <c r="H25" s="23">
        <f t="shared" si="20"/>
        <v>47</v>
      </c>
      <c r="I25" s="23">
        <f t="shared" si="20"/>
        <v>55</v>
      </c>
      <c r="J25" s="23">
        <f t="shared" si="20"/>
        <v>59</v>
      </c>
      <c r="K25" s="23">
        <f t="shared" si="20"/>
        <v>73</v>
      </c>
      <c r="L25" s="23">
        <f t="shared" si="20"/>
        <v>64</v>
      </c>
      <c r="M25" s="23">
        <f t="shared" si="20"/>
        <v>47</v>
      </c>
      <c r="N25" s="117">
        <f t="shared" si="20"/>
        <v>50</v>
      </c>
      <c r="O25" s="111">
        <f t="shared" si="2"/>
        <v>680</v>
      </c>
    </row>
    <row r="26" spans="1:15" ht="15.75" thickBot="1" x14ac:dyDescent="0.3">
      <c r="A26" s="1"/>
      <c r="B26" s="60" t="s">
        <v>36</v>
      </c>
      <c r="C26" s="22">
        <f t="shared" si="20"/>
        <v>90</v>
      </c>
      <c r="D26" s="23">
        <f t="shared" si="20"/>
        <v>100</v>
      </c>
      <c r="E26" s="23">
        <f t="shared" si="20"/>
        <v>88</v>
      </c>
      <c r="F26" s="23">
        <f t="shared" si="20"/>
        <v>103</v>
      </c>
      <c r="G26" s="23">
        <f t="shared" si="20"/>
        <v>105</v>
      </c>
      <c r="H26" s="23">
        <f t="shared" si="20"/>
        <v>86</v>
      </c>
      <c r="I26" s="23">
        <f t="shared" si="20"/>
        <v>96</v>
      </c>
      <c r="J26" s="23">
        <f t="shared" si="20"/>
        <v>102</v>
      </c>
      <c r="K26" s="23">
        <f t="shared" si="20"/>
        <v>94</v>
      </c>
      <c r="L26" s="23">
        <f t="shared" si="20"/>
        <v>89</v>
      </c>
      <c r="M26" s="23">
        <f t="shared" si="20"/>
        <v>75</v>
      </c>
      <c r="N26" s="117">
        <f t="shared" si="20"/>
        <v>99</v>
      </c>
      <c r="O26" s="111">
        <f t="shared" si="2"/>
        <v>1127</v>
      </c>
    </row>
    <row r="27" spans="1:15" ht="15.75" thickBot="1" x14ac:dyDescent="0.3">
      <c r="A27" s="1"/>
      <c r="B27" s="60" t="s">
        <v>37</v>
      </c>
      <c r="C27" s="22">
        <f t="shared" si="20"/>
        <v>58</v>
      </c>
      <c r="D27" s="23">
        <f t="shared" si="20"/>
        <v>68</v>
      </c>
      <c r="E27" s="23">
        <f t="shared" si="20"/>
        <v>61</v>
      </c>
      <c r="F27" s="23">
        <f t="shared" si="20"/>
        <v>42</v>
      </c>
      <c r="G27" s="23">
        <f t="shared" si="20"/>
        <v>40</v>
      </c>
      <c r="H27" s="23">
        <f t="shared" si="20"/>
        <v>47</v>
      </c>
      <c r="I27" s="23">
        <f t="shared" si="20"/>
        <v>52</v>
      </c>
      <c r="J27" s="23">
        <f t="shared" si="20"/>
        <v>58</v>
      </c>
      <c r="K27" s="23">
        <f t="shared" si="20"/>
        <v>70</v>
      </c>
      <c r="L27" s="23">
        <f t="shared" si="20"/>
        <v>64</v>
      </c>
      <c r="M27" s="23">
        <f t="shared" si="20"/>
        <v>46</v>
      </c>
      <c r="N27" s="117">
        <f t="shared" si="20"/>
        <v>48</v>
      </c>
      <c r="O27" s="111">
        <f t="shared" si="2"/>
        <v>654</v>
      </c>
    </row>
    <row r="28" spans="1:15" ht="15.75" thickBot="1" x14ac:dyDescent="0.3">
      <c r="A28" s="1"/>
      <c r="B28" s="60" t="s">
        <v>38</v>
      </c>
      <c r="C28" s="22">
        <f t="shared" si="20"/>
        <v>4</v>
      </c>
      <c r="D28" s="23">
        <f t="shared" si="20"/>
        <v>1</v>
      </c>
      <c r="E28" s="23">
        <f t="shared" si="20"/>
        <v>5</v>
      </c>
      <c r="F28" s="23">
        <f t="shared" si="20"/>
        <v>5</v>
      </c>
      <c r="G28" s="23">
        <f t="shared" si="20"/>
        <v>1</v>
      </c>
      <c r="H28" s="23">
        <f t="shared" si="20"/>
        <v>0</v>
      </c>
      <c r="I28" s="23">
        <f t="shared" si="20"/>
        <v>3</v>
      </c>
      <c r="J28" s="23">
        <f t="shared" si="20"/>
        <v>1</v>
      </c>
      <c r="K28" s="23">
        <f t="shared" si="20"/>
        <v>3</v>
      </c>
      <c r="L28" s="23">
        <f t="shared" si="20"/>
        <v>0</v>
      </c>
      <c r="M28" s="23">
        <f t="shared" si="20"/>
        <v>1</v>
      </c>
      <c r="N28" s="117">
        <f t="shared" si="20"/>
        <v>2</v>
      </c>
      <c r="O28" s="111">
        <f t="shared" si="2"/>
        <v>26</v>
      </c>
    </row>
    <row r="29" spans="1:15" ht="15.75" thickBot="1" x14ac:dyDescent="0.3">
      <c r="A29" s="1"/>
      <c r="B29" s="60" t="s">
        <v>39</v>
      </c>
      <c r="C29" s="22">
        <f t="shared" si="20"/>
        <v>4</v>
      </c>
      <c r="D29" s="23">
        <f t="shared" si="20"/>
        <v>8</v>
      </c>
      <c r="E29" s="23">
        <f t="shared" si="20"/>
        <v>6</v>
      </c>
      <c r="F29" s="23">
        <f t="shared" si="20"/>
        <v>4</v>
      </c>
      <c r="G29" s="23">
        <f t="shared" si="20"/>
        <v>2</v>
      </c>
      <c r="H29" s="23">
        <f t="shared" si="20"/>
        <v>3</v>
      </c>
      <c r="I29" s="23">
        <f t="shared" si="20"/>
        <v>3</v>
      </c>
      <c r="J29" s="23">
        <f t="shared" si="20"/>
        <v>4</v>
      </c>
      <c r="K29" s="23">
        <f t="shared" si="20"/>
        <v>3</v>
      </c>
      <c r="L29" s="23">
        <f t="shared" si="20"/>
        <v>1</v>
      </c>
      <c r="M29" s="23">
        <f t="shared" si="20"/>
        <v>4</v>
      </c>
      <c r="N29" s="117">
        <f t="shared" si="20"/>
        <v>4</v>
      </c>
      <c r="O29" s="111">
        <f t="shared" si="2"/>
        <v>46</v>
      </c>
    </row>
    <row r="30" spans="1:15" ht="15.75" thickBot="1" x14ac:dyDescent="0.3">
      <c r="A30" s="1"/>
      <c r="B30" s="60" t="s">
        <v>40</v>
      </c>
      <c r="C30" s="22">
        <f t="shared" si="20"/>
        <v>183</v>
      </c>
      <c r="D30" s="23">
        <f t="shared" si="20"/>
        <v>155</v>
      </c>
      <c r="E30" s="23">
        <f t="shared" si="20"/>
        <v>173</v>
      </c>
      <c r="F30" s="23">
        <f t="shared" si="20"/>
        <v>178</v>
      </c>
      <c r="G30" s="23">
        <f t="shared" si="20"/>
        <v>179</v>
      </c>
      <c r="H30" s="23">
        <f t="shared" si="20"/>
        <v>147</v>
      </c>
      <c r="I30" s="23">
        <f t="shared" si="20"/>
        <v>161</v>
      </c>
      <c r="J30" s="23">
        <f t="shared" si="20"/>
        <v>135</v>
      </c>
      <c r="K30" s="23">
        <f t="shared" si="20"/>
        <v>169</v>
      </c>
      <c r="L30" s="23">
        <f t="shared" si="20"/>
        <v>136</v>
      </c>
      <c r="M30" s="23">
        <f t="shared" si="20"/>
        <v>129</v>
      </c>
      <c r="N30" s="117">
        <f t="shared" si="20"/>
        <v>127</v>
      </c>
      <c r="O30" s="111">
        <f t="shared" si="2"/>
        <v>1872</v>
      </c>
    </row>
    <row r="31" spans="1:15" ht="15.75" thickBot="1" x14ac:dyDescent="0.3">
      <c r="A31" s="1"/>
      <c r="B31" s="60" t="s">
        <v>41</v>
      </c>
      <c r="C31" s="22">
        <f t="shared" si="20"/>
        <v>0</v>
      </c>
      <c r="D31" s="23">
        <f t="shared" si="20"/>
        <v>0</v>
      </c>
      <c r="E31" s="23">
        <f t="shared" si="20"/>
        <v>0</v>
      </c>
      <c r="F31" s="23">
        <f t="shared" si="20"/>
        <v>0</v>
      </c>
      <c r="G31" s="23">
        <f t="shared" si="20"/>
        <v>0</v>
      </c>
      <c r="H31" s="23">
        <f t="shared" si="20"/>
        <v>0</v>
      </c>
      <c r="I31" s="23">
        <f t="shared" si="20"/>
        <v>0</v>
      </c>
      <c r="J31" s="23">
        <f t="shared" si="20"/>
        <v>0</v>
      </c>
      <c r="K31" s="23">
        <f t="shared" si="20"/>
        <v>0</v>
      </c>
      <c r="L31" s="23">
        <f t="shared" si="20"/>
        <v>0</v>
      </c>
      <c r="M31" s="23">
        <f t="shared" si="20"/>
        <v>0</v>
      </c>
      <c r="N31" s="117">
        <f t="shared" si="20"/>
        <v>0</v>
      </c>
      <c r="O31" s="111">
        <f t="shared" si="2"/>
        <v>0</v>
      </c>
    </row>
    <row r="32" spans="1:15" ht="15.75" thickBot="1" x14ac:dyDescent="0.3">
      <c r="A32" s="1"/>
      <c r="B32" s="60" t="s">
        <v>42</v>
      </c>
      <c r="C32" s="22">
        <f t="shared" si="20"/>
        <v>15</v>
      </c>
      <c r="D32" s="23">
        <f t="shared" si="20"/>
        <v>18</v>
      </c>
      <c r="E32" s="23">
        <f t="shared" si="20"/>
        <v>9</v>
      </c>
      <c r="F32" s="23">
        <f t="shared" si="20"/>
        <v>13</v>
      </c>
      <c r="G32" s="23">
        <f t="shared" si="20"/>
        <v>22</v>
      </c>
      <c r="H32" s="23">
        <f t="shared" si="20"/>
        <v>17</v>
      </c>
      <c r="I32" s="23">
        <f t="shared" si="20"/>
        <v>23</v>
      </c>
      <c r="J32" s="23">
        <f t="shared" si="20"/>
        <v>16</v>
      </c>
      <c r="K32" s="23">
        <f t="shared" si="20"/>
        <v>14</v>
      </c>
      <c r="L32" s="23">
        <f t="shared" si="20"/>
        <v>5</v>
      </c>
      <c r="M32" s="23">
        <f t="shared" si="20"/>
        <v>0</v>
      </c>
      <c r="N32" s="117">
        <f t="shared" si="20"/>
        <v>17</v>
      </c>
      <c r="O32" s="111">
        <f t="shared" si="2"/>
        <v>169</v>
      </c>
    </row>
    <row r="33" spans="1:15" ht="15.75" thickBot="1" x14ac:dyDescent="0.3">
      <c r="A33" s="1"/>
      <c r="B33" s="60" t="s">
        <v>43</v>
      </c>
      <c r="C33" s="22">
        <f t="shared" si="20"/>
        <v>1</v>
      </c>
      <c r="D33" s="23">
        <f t="shared" si="20"/>
        <v>0</v>
      </c>
      <c r="E33" s="23">
        <f t="shared" si="20"/>
        <v>0</v>
      </c>
      <c r="F33" s="23">
        <f t="shared" si="20"/>
        <v>0</v>
      </c>
      <c r="G33" s="23">
        <f t="shared" si="20"/>
        <v>0</v>
      </c>
      <c r="H33" s="23">
        <f t="shared" si="20"/>
        <v>0</v>
      </c>
      <c r="I33" s="23">
        <f t="shared" si="20"/>
        <v>0</v>
      </c>
      <c r="J33" s="23">
        <f t="shared" si="20"/>
        <v>0</v>
      </c>
      <c r="K33" s="23">
        <f t="shared" si="20"/>
        <v>0</v>
      </c>
      <c r="L33" s="23">
        <f t="shared" si="20"/>
        <v>0</v>
      </c>
      <c r="M33" s="23">
        <f t="shared" si="20"/>
        <v>1</v>
      </c>
      <c r="N33" s="117">
        <f t="shared" si="20"/>
        <v>0</v>
      </c>
      <c r="O33" s="111">
        <f t="shared" si="2"/>
        <v>2</v>
      </c>
    </row>
    <row r="34" spans="1:15" ht="15.75" thickBot="1" x14ac:dyDescent="0.3">
      <c r="A34" s="1"/>
      <c r="B34" s="60" t="s">
        <v>44</v>
      </c>
      <c r="C34" s="22">
        <f t="shared" si="20"/>
        <v>0</v>
      </c>
      <c r="D34" s="23">
        <f t="shared" si="20"/>
        <v>0</v>
      </c>
      <c r="E34" s="23">
        <f t="shared" si="20"/>
        <v>3</v>
      </c>
      <c r="F34" s="23">
        <f t="shared" si="20"/>
        <v>3</v>
      </c>
      <c r="G34" s="23">
        <f t="shared" si="20"/>
        <v>3</v>
      </c>
      <c r="H34" s="23">
        <f t="shared" si="20"/>
        <v>2</v>
      </c>
      <c r="I34" s="23">
        <f t="shared" si="20"/>
        <v>0</v>
      </c>
      <c r="J34" s="23">
        <f t="shared" si="20"/>
        <v>2</v>
      </c>
      <c r="K34" s="23">
        <f t="shared" si="20"/>
        <v>6</v>
      </c>
      <c r="L34" s="23">
        <f t="shared" si="20"/>
        <v>4</v>
      </c>
      <c r="M34" s="23">
        <f t="shared" si="20"/>
        <v>5</v>
      </c>
      <c r="N34" s="117">
        <f t="shared" si="20"/>
        <v>5</v>
      </c>
      <c r="O34" s="111">
        <f t="shared" si="2"/>
        <v>33</v>
      </c>
    </row>
    <row r="35" spans="1:15" ht="15.75" thickBot="1" x14ac:dyDescent="0.3">
      <c r="A35" s="1"/>
      <c r="B35" s="60" t="s">
        <v>45</v>
      </c>
      <c r="C35" s="74">
        <f t="shared" si="20"/>
        <v>0</v>
      </c>
      <c r="D35" s="54">
        <f t="shared" si="20"/>
        <v>0</v>
      </c>
      <c r="E35" s="54">
        <f t="shared" si="20"/>
        <v>0</v>
      </c>
      <c r="F35" s="54">
        <f t="shared" si="20"/>
        <v>0</v>
      </c>
      <c r="G35" s="54">
        <f t="shared" si="20"/>
        <v>0</v>
      </c>
      <c r="H35" s="54">
        <f t="shared" si="20"/>
        <v>1</v>
      </c>
      <c r="I35" s="54">
        <f t="shared" si="20"/>
        <v>0</v>
      </c>
      <c r="J35" s="54">
        <f t="shared" si="20"/>
        <v>1</v>
      </c>
      <c r="K35" s="54">
        <f t="shared" si="20"/>
        <v>0</v>
      </c>
      <c r="L35" s="54">
        <f t="shared" si="20"/>
        <v>0</v>
      </c>
      <c r="M35" s="54">
        <f t="shared" si="20"/>
        <v>2</v>
      </c>
      <c r="N35" s="118">
        <f t="shared" si="20"/>
        <v>1</v>
      </c>
      <c r="O35" s="119">
        <f t="shared" si="2"/>
        <v>5</v>
      </c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6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4" t="s">
        <v>47</v>
      </c>
      <c r="M37" s="1"/>
      <c r="N37" s="1"/>
      <c r="O37" s="1"/>
    </row>
    <row r="38" spans="1:15" x14ac:dyDescent="0.25">
      <c r="A38" s="1"/>
      <c r="B38" s="6" t="s">
        <v>48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thickBo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6.5" thickBot="1" x14ac:dyDescent="0.3">
      <c r="A41" s="1"/>
      <c r="B41" s="1"/>
      <c r="C41" s="199" t="s">
        <v>49</v>
      </c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199">
        <f>+[3]INICIO!I4</f>
        <v>2017</v>
      </c>
      <c r="O41" s="201"/>
    </row>
    <row r="42" spans="1:15" ht="15.75" thickBot="1" x14ac:dyDescent="0.3">
      <c r="A42" s="1"/>
      <c r="B42" s="7"/>
      <c r="C42" s="39">
        <v>31</v>
      </c>
      <c r="D42" s="39">
        <v>28</v>
      </c>
      <c r="E42" s="39">
        <v>31</v>
      </c>
      <c r="F42" s="39">
        <v>30</v>
      </c>
      <c r="G42" s="39">
        <v>31</v>
      </c>
      <c r="H42" s="39">
        <v>30</v>
      </c>
      <c r="I42" s="39">
        <v>31</v>
      </c>
      <c r="J42" s="39">
        <v>31</v>
      </c>
      <c r="K42" s="39">
        <v>30</v>
      </c>
      <c r="L42" s="39">
        <v>31</v>
      </c>
      <c r="M42" s="39">
        <v>30</v>
      </c>
      <c r="N42" s="39">
        <v>31</v>
      </c>
      <c r="O42" s="86">
        <v>40</v>
      </c>
    </row>
    <row r="43" spans="1:15" ht="15.75" thickBot="1" x14ac:dyDescent="0.3">
      <c r="A43" s="1"/>
      <c r="B43" s="10" t="s">
        <v>50</v>
      </c>
      <c r="C43" s="11" t="s">
        <v>1</v>
      </c>
      <c r="D43" s="12" t="s">
        <v>2</v>
      </c>
      <c r="E43" s="12" t="s">
        <v>3</v>
      </c>
      <c r="F43" s="12" t="s">
        <v>4</v>
      </c>
      <c r="G43" s="12" t="s">
        <v>5</v>
      </c>
      <c r="H43" s="12" t="s">
        <v>6</v>
      </c>
      <c r="I43" s="12" t="s">
        <v>7</v>
      </c>
      <c r="J43" s="12" t="s">
        <v>8</v>
      </c>
      <c r="K43" s="13" t="s">
        <v>9</v>
      </c>
      <c r="L43" s="13" t="s">
        <v>10</v>
      </c>
      <c r="M43" s="13" t="s">
        <v>11</v>
      </c>
      <c r="N43" s="26" t="s">
        <v>12</v>
      </c>
      <c r="O43" s="27" t="s">
        <v>13</v>
      </c>
    </row>
    <row r="44" spans="1:15" ht="15.75" thickBot="1" x14ac:dyDescent="0.3">
      <c r="A44" s="1"/>
      <c r="B44" s="8" t="s">
        <v>14</v>
      </c>
      <c r="C44" s="44">
        <v>36</v>
      </c>
      <c r="D44" s="44">
        <v>35</v>
      </c>
      <c r="E44" s="44">
        <v>35</v>
      </c>
      <c r="F44" s="44">
        <v>35</v>
      </c>
      <c r="G44" s="44">
        <v>35</v>
      </c>
      <c r="H44" s="44">
        <v>36</v>
      </c>
      <c r="I44" s="44">
        <v>34</v>
      </c>
      <c r="J44" s="44">
        <v>31</v>
      </c>
      <c r="K44" s="44">
        <v>36</v>
      </c>
      <c r="L44" s="44">
        <v>38</v>
      </c>
      <c r="M44" s="44">
        <v>37</v>
      </c>
      <c r="N44" s="48">
        <v>36</v>
      </c>
      <c r="O44" s="88">
        <f>+AVERAGE(C44:N44)</f>
        <v>35.333333333333336</v>
      </c>
    </row>
    <row r="45" spans="1:15" ht="15.75" thickBot="1" x14ac:dyDescent="0.3">
      <c r="A45" s="1"/>
      <c r="B45" s="8" t="s">
        <v>15</v>
      </c>
      <c r="C45" s="32">
        <v>112</v>
      </c>
      <c r="D45" s="21">
        <v>100</v>
      </c>
      <c r="E45" s="21">
        <v>119</v>
      </c>
      <c r="F45" s="3">
        <v>132</v>
      </c>
      <c r="G45" s="3">
        <v>131</v>
      </c>
      <c r="H45" s="3">
        <v>109</v>
      </c>
      <c r="I45" s="3">
        <v>99</v>
      </c>
      <c r="J45" s="3">
        <v>122</v>
      </c>
      <c r="K45" s="3">
        <v>100</v>
      </c>
      <c r="L45" s="3">
        <v>121</v>
      </c>
      <c r="M45" s="3">
        <v>98</v>
      </c>
      <c r="N45" s="33">
        <v>93</v>
      </c>
      <c r="O45" s="18">
        <f t="shared" ref="O45:O60" si="21">+SUM(C45:N45)</f>
        <v>1336</v>
      </c>
    </row>
    <row r="46" spans="1:15" ht="15.75" thickBot="1" x14ac:dyDescent="0.3">
      <c r="A46" s="1"/>
      <c r="B46" s="8" t="s">
        <v>16</v>
      </c>
      <c r="C46" s="32">
        <v>102</v>
      </c>
      <c r="D46" s="21">
        <v>93</v>
      </c>
      <c r="E46" s="21">
        <v>124</v>
      </c>
      <c r="F46" s="3">
        <v>134</v>
      </c>
      <c r="G46" s="3">
        <v>129</v>
      </c>
      <c r="H46" s="3">
        <v>110</v>
      </c>
      <c r="I46" s="3">
        <v>103</v>
      </c>
      <c r="J46" s="3">
        <v>109</v>
      </c>
      <c r="K46" s="3">
        <v>108</v>
      </c>
      <c r="L46" s="3">
        <v>120</v>
      </c>
      <c r="M46" s="3">
        <v>94</v>
      </c>
      <c r="N46" s="33">
        <v>107</v>
      </c>
      <c r="O46" s="18">
        <f t="shared" si="21"/>
        <v>1333</v>
      </c>
    </row>
    <row r="47" spans="1:15" ht="15.75" thickBot="1" x14ac:dyDescent="0.3">
      <c r="A47" s="1"/>
      <c r="B47" s="8" t="s">
        <v>17</v>
      </c>
      <c r="C47" s="41">
        <f t="shared" ref="C47:N47" si="22">+C42*C44</f>
        <v>1116</v>
      </c>
      <c r="D47" s="41">
        <f t="shared" si="22"/>
        <v>980</v>
      </c>
      <c r="E47" s="41">
        <f t="shared" si="22"/>
        <v>1085</v>
      </c>
      <c r="F47" s="41">
        <f t="shared" si="22"/>
        <v>1050</v>
      </c>
      <c r="G47" s="41">
        <f t="shared" si="22"/>
        <v>1085</v>
      </c>
      <c r="H47" s="41">
        <f t="shared" si="22"/>
        <v>1080</v>
      </c>
      <c r="I47" s="41">
        <f t="shared" si="22"/>
        <v>1054</v>
      </c>
      <c r="J47" s="41">
        <f t="shared" si="22"/>
        <v>961</v>
      </c>
      <c r="K47" s="41">
        <f t="shared" si="22"/>
        <v>1080</v>
      </c>
      <c r="L47" s="41">
        <f t="shared" si="22"/>
        <v>1178</v>
      </c>
      <c r="M47" s="41">
        <f t="shared" si="22"/>
        <v>1110</v>
      </c>
      <c r="N47" s="45">
        <f t="shared" si="22"/>
        <v>1116</v>
      </c>
      <c r="O47" s="18">
        <f t="shared" si="21"/>
        <v>12895</v>
      </c>
    </row>
    <row r="48" spans="1:15" ht="15.75" thickBot="1" x14ac:dyDescent="0.3">
      <c r="A48" s="1"/>
      <c r="B48" s="8" t="s">
        <v>18</v>
      </c>
      <c r="C48" s="32">
        <v>500</v>
      </c>
      <c r="D48" s="21">
        <v>433</v>
      </c>
      <c r="E48" s="21">
        <v>605</v>
      </c>
      <c r="F48" s="3">
        <v>574</v>
      </c>
      <c r="G48" s="3">
        <v>551</v>
      </c>
      <c r="H48" s="3">
        <v>454</v>
      </c>
      <c r="I48" s="3">
        <v>515</v>
      </c>
      <c r="J48" s="3">
        <v>606</v>
      </c>
      <c r="K48" s="3">
        <v>575</v>
      </c>
      <c r="L48" s="3">
        <v>526</v>
      </c>
      <c r="M48" s="3">
        <v>530</v>
      </c>
      <c r="N48" s="33">
        <v>461</v>
      </c>
      <c r="O48" s="18">
        <f t="shared" si="21"/>
        <v>6330</v>
      </c>
    </row>
    <row r="49" spans="1:15" ht="15.75" thickBot="1" x14ac:dyDescent="0.3">
      <c r="A49" s="1"/>
      <c r="B49" s="8" t="s">
        <v>19</v>
      </c>
      <c r="C49" s="32">
        <v>557</v>
      </c>
      <c r="D49" s="21">
        <v>534</v>
      </c>
      <c r="E49" s="21">
        <v>800</v>
      </c>
      <c r="F49" s="3">
        <v>642</v>
      </c>
      <c r="G49" s="3">
        <v>613</v>
      </c>
      <c r="H49" s="3">
        <v>565</v>
      </c>
      <c r="I49" s="3">
        <v>665</v>
      </c>
      <c r="J49" s="3">
        <v>707</v>
      </c>
      <c r="K49" s="3">
        <v>699</v>
      </c>
      <c r="L49" s="3">
        <v>646</v>
      </c>
      <c r="M49" s="3">
        <v>659</v>
      </c>
      <c r="N49" s="33">
        <v>638</v>
      </c>
      <c r="O49" s="18">
        <f t="shared" si="21"/>
        <v>7725</v>
      </c>
    </row>
    <row r="50" spans="1:15" ht="15.75" thickBot="1" x14ac:dyDescent="0.3">
      <c r="A50" s="1"/>
      <c r="B50" s="9" t="s">
        <v>51</v>
      </c>
      <c r="C50" s="75">
        <v>657</v>
      </c>
      <c r="D50" s="76">
        <v>655</v>
      </c>
      <c r="E50" s="76">
        <v>693</v>
      </c>
      <c r="F50" s="77">
        <v>646</v>
      </c>
      <c r="G50" s="76">
        <v>664</v>
      </c>
      <c r="H50" s="76">
        <v>595</v>
      </c>
      <c r="I50" s="76">
        <v>610</v>
      </c>
      <c r="J50" s="76">
        <v>761</v>
      </c>
      <c r="K50" s="76">
        <v>731</v>
      </c>
      <c r="L50" s="76">
        <v>716</v>
      </c>
      <c r="M50" s="76">
        <v>740</v>
      </c>
      <c r="N50" s="78">
        <v>513</v>
      </c>
      <c r="O50" s="18">
        <f t="shared" si="21"/>
        <v>7981</v>
      </c>
    </row>
    <row r="51" spans="1:15" ht="15.75" thickBot="1" x14ac:dyDescent="0.3">
      <c r="A51" s="1"/>
      <c r="B51" s="38" t="s">
        <v>21</v>
      </c>
      <c r="C51" s="70">
        <f t="shared" ref="C51:O51" si="23">+IF(C46&gt;0,C48/C46,"")</f>
        <v>4.9019607843137258</v>
      </c>
      <c r="D51" s="71">
        <f t="shared" si="23"/>
        <v>4.655913978494624</v>
      </c>
      <c r="E51" s="71">
        <f t="shared" si="23"/>
        <v>4.879032258064516</v>
      </c>
      <c r="F51" s="71">
        <f t="shared" si="23"/>
        <v>4.2835820895522385</v>
      </c>
      <c r="G51" s="71">
        <f t="shared" si="23"/>
        <v>4.2713178294573639</v>
      </c>
      <c r="H51" s="71">
        <f t="shared" si="23"/>
        <v>4.127272727272727</v>
      </c>
      <c r="I51" s="71">
        <f t="shared" si="23"/>
        <v>5</v>
      </c>
      <c r="J51" s="71">
        <f t="shared" si="23"/>
        <v>5.5596330275229358</v>
      </c>
      <c r="K51" s="71">
        <f t="shared" si="23"/>
        <v>5.3240740740740744</v>
      </c>
      <c r="L51" s="71">
        <f t="shared" si="23"/>
        <v>4.3833333333333337</v>
      </c>
      <c r="M51" s="71">
        <f t="shared" si="23"/>
        <v>5.6382978723404253</v>
      </c>
      <c r="N51" s="68">
        <f t="shared" si="23"/>
        <v>4.3084112149532707</v>
      </c>
      <c r="O51" s="47">
        <f t="shared" si="23"/>
        <v>4.7486871717929482</v>
      </c>
    </row>
    <row r="52" spans="1:15" ht="15.75" thickBot="1" x14ac:dyDescent="0.3">
      <c r="A52" s="1"/>
      <c r="B52" s="38" t="s">
        <v>23</v>
      </c>
      <c r="C52" s="42">
        <f t="shared" ref="C52:N52" si="24">+IF(C46&gt;0,C46/C44,"")</f>
        <v>2.8333333333333335</v>
      </c>
      <c r="D52" s="42">
        <f t="shared" si="24"/>
        <v>2.657142857142857</v>
      </c>
      <c r="E52" s="42">
        <f t="shared" si="24"/>
        <v>3.5428571428571427</v>
      </c>
      <c r="F52" s="42">
        <f t="shared" si="24"/>
        <v>3.8285714285714287</v>
      </c>
      <c r="G52" s="42">
        <f t="shared" si="24"/>
        <v>3.6857142857142855</v>
      </c>
      <c r="H52" s="42">
        <f t="shared" si="24"/>
        <v>3.0555555555555554</v>
      </c>
      <c r="I52" s="42">
        <f t="shared" si="24"/>
        <v>3.0294117647058822</v>
      </c>
      <c r="J52" s="42">
        <f t="shared" si="24"/>
        <v>3.5161290322580645</v>
      </c>
      <c r="K52" s="42">
        <f t="shared" si="24"/>
        <v>3</v>
      </c>
      <c r="L52" s="42">
        <f t="shared" si="24"/>
        <v>3.1578947368421053</v>
      </c>
      <c r="M52" s="42">
        <f t="shared" si="24"/>
        <v>2.5405405405405403</v>
      </c>
      <c r="N52" s="46">
        <f t="shared" si="24"/>
        <v>2.9722222222222223</v>
      </c>
      <c r="O52" s="87">
        <f>+IF(O46&gt;0,AVERAGE(C46:N46)/O44,"")</f>
        <v>3.1438679245283017</v>
      </c>
    </row>
    <row r="53" spans="1:15" ht="15.75" thickBot="1" x14ac:dyDescent="0.3">
      <c r="A53" s="1"/>
      <c r="B53" s="38" t="s">
        <v>24</v>
      </c>
      <c r="C53" s="42">
        <f t="shared" ref="C53:O53" si="25">+IF(C46&gt;0,(C47-C50)/C46,"")</f>
        <v>4.5</v>
      </c>
      <c r="D53" s="42">
        <f t="shared" si="25"/>
        <v>3.4946236559139785</v>
      </c>
      <c r="E53" s="42">
        <f t="shared" si="25"/>
        <v>3.161290322580645</v>
      </c>
      <c r="F53" s="42">
        <f t="shared" si="25"/>
        <v>3.0149253731343282</v>
      </c>
      <c r="G53" s="42">
        <f t="shared" si="25"/>
        <v>3.2635658914728682</v>
      </c>
      <c r="H53" s="42">
        <f t="shared" si="25"/>
        <v>4.4090909090909092</v>
      </c>
      <c r="I53" s="42">
        <f t="shared" si="25"/>
        <v>4.3106796116504853</v>
      </c>
      <c r="J53" s="42">
        <f t="shared" si="25"/>
        <v>1.834862385321101</v>
      </c>
      <c r="K53" s="42">
        <f t="shared" si="25"/>
        <v>3.2314814814814814</v>
      </c>
      <c r="L53" s="42">
        <f t="shared" si="25"/>
        <v>3.85</v>
      </c>
      <c r="M53" s="42">
        <f t="shared" si="25"/>
        <v>3.9361702127659575</v>
      </c>
      <c r="N53" s="46">
        <f t="shared" si="25"/>
        <v>5.6355140186915884</v>
      </c>
      <c r="O53" s="47">
        <f t="shared" si="25"/>
        <v>3.6864216054013506</v>
      </c>
    </row>
    <row r="54" spans="1:15" ht="15.75" thickBot="1" x14ac:dyDescent="0.3">
      <c r="A54" s="1"/>
      <c r="B54" s="38" t="s">
        <v>25</v>
      </c>
      <c r="C54" s="42">
        <f>+IF(C50&gt;0,(C50/C47)*100,"")</f>
        <v>58.870967741935488</v>
      </c>
      <c r="D54" s="42">
        <f t="shared" ref="D54:O54" si="26">+IF(D50&gt;0,(D50/D47)*100,"")</f>
        <v>66.83673469387756</v>
      </c>
      <c r="E54" s="42">
        <f t="shared" si="26"/>
        <v>63.87096774193548</v>
      </c>
      <c r="F54" s="42">
        <f t="shared" si="26"/>
        <v>61.523809523809526</v>
      </c>
      <c r="G54" s="42">
        <f t="shared" si="26"/>
        <v>61.198156682027651</v>
      </c>
      <c r="H54" s="42">
        <f t="shared" si="26"/>
        <v>55.092592592592595</v>
      </c>
      <c r="I54" s="42">
        <f t="shared" si="26"/>
        <v>57.874762808349146</v>
      </c>
      <c r="J54" s="42">
        <f t="shared" si="26"/>
        <v>79.188345473465134</v>
      </c>
      <c r="K54" s="42">
        <f t="shared" si="26"/>
        <v>67.685185185185176</v>
      </c>
      <c r="L54" s="42">
        <f t="shared" si="26"/>
        <v>60.780984719864172</v>
      </c>
      <c r="M54" s="42">
        <f t="shared" si="26"/>
        <v>66.666666666666657</v>
      </c>
      <c r="N54" s="46">
        <f t="shared" si="26"/>
        <v>45.967741935483872</v>
      </c>
      <c r="O54" s="47">
        <f t="shared" si="26"/>
        <v>61.892206281504457</v>
      </c>
    </row>
    <row r="55" spans="1:15" ht="15.75" thickBot="1" x14ac:dyDescent="0.3">
      <c r="A55" s="1"/>
      <c r="B55" s="8" t="s">
        <v>26</v>
      </c>
      <c r="C55" s="41">
        <f>+SUM(C56:C57)</f>
        <v>3</v>
      </c>
      <c r="D55" s="41">
        <f t="shared" ref="D55:N55" si="27">+SUM(D56:D57)</f>
        <v>7</v>
      </c>
      <c r="E55" s="41">
        <f t="shared" si="27"/>
        <v>14</v>
      </c>
      <c r="F55" s="41">
        <f t="shared" si="27"/>
        <v>14</v>
      </c>
      <c r="G55" s="41">
        <f t="shared" si="27"/>
        <v>8</v>
      </c>
      <c r="H55" s="41">
        <f t="shared" si="27"/>
        <v>5</v>
      </c>
      <c r="I55" s="41">
        <f t="shared" si="27"/>
        <v>9</v>
      </c>
      <c r="J55" s="41">
        <f t="shared" si="27"/>
        <v>8</v>
      </c>
      <c r="K55" s="41">
        <f t="shared" si="27"/>
        <v>21</v>
      </c>
      <c r="L55" s="41">
        <f t="shared" si="27"/>
        <v>9</v>
      </c>
      <c r="M55" s="41">
        <f t="shared" si="27"/>
        <v>8</v>
      </c>
      <c r="N55" s="45">
        <f t="shared" si="27"/>
        <v>6</v>
      </c>
      <c r="O55" s="18">
        <f t="shared" si="21"/>
        <v>112</v>
      </c>
    </row>
    <row r="56" spans="1:15" ht="15.75" thickBot="1" x14ac:dyDescent="0.3">
      <c r="A56" s="1"/>
      <c r="B56" s="8" t="s">
        <v>52</v>
      </c>
      <c r="C56" s="32">
        <v>2</v>
      </c>
      <c r="D56" s="21">
        <v>5</v>
      </c>
      <c r="E56" s="21">
        <v>8</v>
      </c>
      <c r="F56" s="3">
        <v>9</v>
      </c>
      <c r="G56" s="3">
        <v>4</v>
      </c>
      <c r="H56" s="3">
        <v>4</v>
      </c>
      <c r="I56" s="3">
        <v>8</v>
      </c>
      <c r="J56" s="3">
        <v>6</v>
      </c>
      <c r="K56" s="3">
        <v>17</v>
      </c>
      <c r="L56" s="3">
        <v>8</v>
      </c>
      <c r="M56" s="3">
        <v>6</v>
      </c>
      <c r="N56" s="33">
        <v>2</v>
      </c>
      <c r="O56" s="18">
        <f t="shared" si="21"/>
        <v>79</v>
      </c>
    </row>
    <row r="57" spans="1:15" ht="15.75" thickBot="1" x14ac:dyDescent="0.3">
      <c r="A57" s="1"/>
      <c r="B57" s="8" t="s">
        <v>53</v>
      </c>
      <c r="C57" s="32">
        <v>1</v>
      </c>
      <c r="D57" s="21">
        <v>2</v>
      </c>
      <c r="E57" s="21">
        <v>6</v>
      </c>
      <c r="F57" s="3">
        <v>5</v>
      </c>
      <c r="G57" s="3">
        <v>4</v>
      </c>
      <c r="H57" s="3">
        <v>1</v>
      </c>
      <c r="I57" s="3">
        <v>1</v>
      </c>
      <c r="J57" s="3">
        <v>2</v>
      </c>
      <c r="K57" s="3">
        <v>4</v>
      </c>
      <c r="L57" s="3">
        <v>1</v>
      </c>
      <c r="M57" s="3">
        <v>2</v>
      </c>
      <c r="N57" s="33">
        <v>4</v>
      </c>
      <c r="O57" s="18">
        <f t="shared" si="21"/>
        <v>33</v>
      </c>
    </row>
    <row r="58" spans="1:15" ht="15.75" thickBot="1" x14ac:dyDescent="0.3">
      <c r="A58" s="1"/>
      <c r="B58" s="38" t="s">
        <v>29</v>
      </c>
      <c r="C58" s="67">
        <f t="shared" ref="C58:O58" si="28">+IF(C46&gt;0,(C55/C46)*100,"")</f>
        <v>2.9411764705882351</v>
      </c>
      <c r="D58" s="67">
        <f t="shared" si="28"/>
        <v>7.5268817204301079</v>
      </c>
      <c r="E58" s="67">
        <f t="shared" si="28"/>
        <v>11.29032258064516</v>
      </c>
      <c r="F58" s="67">
        <f t="shared" si="28"/>
        <v>10.44776119402985</v>
      </c>
      <c r="G58" s="67">
        <f t="shared" si="28"/>
        <v>6.2015503875968996</v>
      </c>
      <c r="H58" s="67">
        <f t="shared" si="28"/>
        <v>4.5454545454545459</v>
      </c>
      <c r="I58" s="67">
        <f t="shared" si="28"/>
        <v>8.7378640776699026</v>
      </c>
      <c r="J58" s="67">
        <f t="shared" si="28"/>
        <v>7.3394495412844041</v>
      </c>
      <c r="K58" s="67">
        <f t="shared" si="28"/>
        <v>19.444444444444446</v>
      </c>
      <c r="L58" s="67">
        <f t="shared" si="28"/>
        <v>7.5</v>
      </c>
      <c r="M58" s="67">
        <f t="shared" si="28"/>
        <v>8.5106382978723403</v>
      </c>
      <c r="N58" s="68">
        <f t="shared" si="28"/>
        <v>5.6074766355140184</v>
      </c>
      <c r="O58" s="69">
        <f t="shared" si="28"/>
        <v>8.4021005251312832</v>
      </c>
    </row>
    <row r="59" spans="1:15" ht="15.75" thickBot="1" x14ac:dyDescent="0.3">
      <c r="A59" s="1"/>
      <c r="B59" s="38" t="s">
        <v>30</v>
      </c>
      <c r="C59" s="67">
        <f t="shared" ref="C59:O59" si="29">+IF(C46&gt;0,(C56/C46)*100,"")</f>
        <v>1.9607843137254901</v>
      </c>
      <c r="D59" s="67">
        <f t="shared" si="29"/>
        <v>5.376344086021505</v>
      </c>
      <c r="E59" s="67">
        <f t="shared" si="29"/>
        <v>6.4516129032258061</v>
      </c>
      <c r="F59" s="67">
        <f t="shared" si="29"/>
        <v>6.7164179104477615</v>
      </c>
      <c r="G59" s="67">
        <f t="shared" si="29"/>
        <v>3.1007751937984498</v>
      </c>
      <c r="H59" s="67">
        <f t="shared" si="29"/>
        <v>3.6363636363636362</v>
      </c>
      <c r="I59" s="67">
        <f t="shared" si="29"/>
        <v>7.7669902912621351</v>
      </c>
      <c r="J59" s="67">
        <f t="shared" si="29"/>
        <v>5.5045871559633035</v>
      </c>
      <c r="K59" s="67">
        <f t="shared" si="29"/>
        <v>15.74074074074074</v>
      </c>
      <c r="L59" s="67">
        <f t="shared" si="29"/>
        <v>6.666666666666667</v>
      </c>
      <c r="M59" s="67">
        <f t="shared" si="29"/>
        <v>6.3829787234042552</v>
      </c>
      <c r="N59" s="68">
        <f t="shared" si="29"/>
        <v>1.8691588785046727</v>
      </c>
      <c r="O59" s="69">
        <f t="shared" si="29"/>
        <v>5.9264816204051014</v>
      </c>
    </row>
    <row r="60" spans="1:15" ht="15.75" thickBot="1" x14ac:dyDescent="0.3">
      <c r="A60" s="1"/>
      <c r="B60" s="15" t="s">
        <v>31</v>
      </c>
      <c r="C60" s="25">
        <v>0</v>
      </c>
      <c r="D60" s="25">
        <v>0</v>
      </c>
      <c r="E60" s="25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5">
        <v>0</v>
      </c>
      <c r="O60" s="28">
        <f t="shared" si="21"/>
        <v>0</v>
      </c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6.5" thickBot="1" x14ac:dyDescent="0.3">
      <c r="A63" s="1"/>
      <c r="B63" s="1"/>
      <c r="C63" s="199" t="s">
        <v>49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199">
        <f>+[3]INICIO!I4</f>
        <v>2017</v>
      </c>
      <c r="O63" s="201"/>
    </row>
    <row r="64" spans="1:15" ht="15.75" thickBot="1" x14ac:dyDescent="0.3">
      <c r="A64" s="1"/>
      <c r="B64" s="7"/>
      <c r="C64" s="39">
        <v>31</v>
      </c>
      <c r="D64" s="39">
        <v>28</v>
      </c>
      <c r="E64" s="39">
        <v>31</v>
      </c>
      <c r="F64" s="39">
        <v>30</v>
      </c>
      <c r="G64" s="39">
        <v>31</v>
      </c>
      <c r="H64" s="39">
        <v>30</v>
      </c>
      <c r="I64" s="39">
        <v>31</v>
      </c>
      <c r="J64" s="39">
        <v>31</v>
      </c>
      <c r="K64" s="39">
        <v>30</v>
      </c>
      <c r="L64" s="39">
        <v>31</v>
      </c>
      <c r="M64" s="39">
        <v>30</v>
      </c>
      <c r="N64" s="39">
        <v>31</v>
      </c>
      <c r="O64" s="86">
        <v>40</v>
      </c>
    </row>
    <row r="65" spans="1:15" ht="15.75" thickBot="1" x14ac:dyDescent="0.3">
      <c r="A65" s="1"/>
      <c r="B65" s="10" t="s">
        <v>54</v>
      </c>
      <c r="C65" s="11" t="s">
        <v>1</v>
      </c>
      <c r="D65" s="12" t="s">
        <v>2</v>
      </c>
      <c r="E65" s="12" t="s">
        <v>3</v>
      </c>
      <c r="F65" s="12" t="s">
        <v>4</v>
      </c>
      <c r="G65" s="12" t="s">
        <v>5</v>
      </c>
      <c r="H65" s="12" t="s">
        <v>6</v>
      </c>
      <c r="I65" s="12" t="s">
        <v>7</v>
      </c>
      <c r="J65" s="12" t="s">
        <v>8</v>
      </c>
      <c r="K65" s="13" t="s">
        <v>9</v>
      </c>
      <c r="L65" s="13" t="s">
        <v>10</v>
      </c>
      <c r="M65" s="13" t="s">
        <v>11</v>
      </c>
      <c r="N65" s="13" t="s">
        <v>12</v>
      </c>
      <c r="O65" s="14" t="s">
        <v>13</v>
      </c>
    </row>
    <row r="66" spans="1:15" ht="15.75" thickBot="1" x14ac:dyDescent="0.3">
      <c r="A66" s="1"/>
      <c r="B66" s="8" t="s">
        <v>14</v>
      </c>
      <c r="C66" s="44">
        <v>40</v>
      </c>
      <c r="D66" s="44">
        <v>40</v>
      </c>
      <c r="E66" s="44">
        <v>40</v>
      </c>
      <c r="F66" s="44">
        <v>39</v>
      </c>
      <c r="G66" s="44">
        <v>38</v>
      </c>
      <c r="H66" s="44">
        <v>39</v>
      </c>
      <c r="I66" s="44">
        <v>39</v>
      </c>
      <c r="J66" s="44">
        <v>40</v>
      </c>
      <c r="K66" s="44">
        <v>40</v>
      </c>
      <c r="L66" s="44">
        <v>39</v>
      </c>
      <c r="M66" s="44">
        <v>39</v>
      </c>
      <c r="N66" s="44">
        <v>39</v>
      </c>
      <c r="O66" s="88">
        <f>+AVERAGE(C66:N66)</f>
        <v>39.333333333333336</v>
      </c>
    </row>
    <row r="67" spans="1:15" ht="15.75" thickBot="1" x14ac:dyDescent="0.3">
      <c r="A67" s="1"/>
      <c r="B67" s="8" t="s">
        <v>15</v>
      </c>
      <c r="C67" s="32">
        <v>169</v>
      </c>
      <c r="D67" s="21">
        <v>135</v>
      </c>
      <c r="E67" s="21">
        <v>138</v>
      </c>
      <c r="F67" s="3">
        <v>169</v>
      </c>
      <c r="G67" s="3">
        <v>156</v>
      </c>
      <c r="H67" s="3">
        <v>152</v>
      </c>
      <c r="I67" s="3">
        <v>87</v>
      </c>
      <c r="J67" s="3">
        <v>117</v>
      </c>
      <c r="K67" s="3">
        <v>165</v>
      </c>
      <c r="L67" s="3">
        <v>161</v>
      </c>
      <c r="M67" s="3">
        <v>157</v>
      </c>
      <c r="N67" s="33">
        <v>153</v>
      </c>
      <c r="O67" s="18">
        <f t="shared" ref="O67:O72" si="30">+SUM(C67:N67)</f>
        <v>1759</v>
      </c>
    </row>
    <row r="68" spans="1:15" ht="15.75" thickBot="1" x14ac:dyDescent="0.3">
      <c r="A68" s="1"/>
      <c r="B68" s="8" t="s">
        <v>16</v>
      </c>
      <c r="C68" s="32">
        <v>164</v>
      </c>
      <c r="D68" s="21">
        <v>135</v>
      </c>
      <c r="E68" s="21">
        <v>153</v>
      </c>
      <c r="F68" s="3">
        <v>151</v>
      </c>
      <c r="G68" s="3">
        <v>155</v>
      </c>
      <c r="H68" s="3">
        <v>149</v>
      </c>
      <c r="I68" s="3">
        <v>92</v>
      </c>
      <c r="J68" s="3">
        <v>108</v>
      </c>
      <c r="K68" s="3">
        <v>163</v>
      </c>
      <c r="L68" s="3">
        <v>164</v>
      </c>
      <c r="M68" s="3">
        <v>161</v>
      </c>
      <c r="N68" s="33">
        <v>159</v>
      </c>
      <c r="O68" s="18">
        <f t="shared" si="30"/>
        <v>1754</v>
      </c>
    </row>
    <row r="69" spans="1:15" ht="15.75" thickBot="1" x14ac:dyDescent="0.3">
      <c r="A69" s="1"/>
      <c r="B69" s="8" t="s">
        <v>17</v>
      </c>
      <c r="C69" s="41">
        <f>+C64*C66</f>
        <v>1240</v>
      </c>
      <c r="D69" s="41">
        <f t="shared" ref="D69:N69" si="31">+D64*D66</f>
        <v>1120</v>
      </c>
      <c r="E69" s="41">
        <f t="shared" si="31"/>
        <v>1240</v>
      </c>
      <c r="F69" s="41">
        <f t="shared" si="31"/>
        <v>1170</v>
      </c>
      <c r="G69" s="41">
        <f t="shared" si="31"/>
        <v>1178</v>
      </c>
      <c r="H69" s="41">
        <f t="shared" si="31"/>
        <v>1170</v>
      </c>
      <c r="I69" s="41">
        <f t="shared" si="31"/>
        <v>1209</v>
      </c>
      <c r="J69" s="41">
        <f t="shared" si="31"/>
        <v>1240</v>
      </c>
      <c r="K69" s="41">
        <f t="shared" si="31"/>
        <v>1200</v>
      </c>
      <c r="L69" s="41">
        <f t="shared" si="31"/>
        <v>1209</v>
      </c>
      <c r="M69" s="41">
        <f t="shared" si="31"/>
        <v>1170</v>
      </c>
      <c r="N69" s="41">
        <f t="shared" si="31"/>
        <v>1209</v>
      </c>
      <c r="O69" s="18">
        <f t="shared" si="30"/>
        <v>14355</v>
      </c>
    </row>
    <row r="70" spans="1:15" ht="15.75" thickBot="1" x14ac:dyDescent="0.3">
      <c r="A70" s="1"/>
      <c r="B70" s="8" t="s">
        <v>18</v>
      </c>
      <c r="C70" s="32">
        <v>819</v>
      </c>
      <c r="D70" s="21">
        <v>491</v>
      </c>
      <c r="E70" s="21">
        <v>797</v>
      </c>
      <c r="F70" s="3">
        <v>624</v>
      </c>
      <c r="G70" s="3">
        <v>651</v>
      </c>
      <c r="H70" s="3">
        <v>719</v>
      </c>
      <c r="I70" s="3">
        <v>581</v>
      </c>
      <c r="J70" s="3">
        <v>590</v>
      </c>
      <c r="K70" s="3">
        <v>742</v>
      </c>
      <c r="L70" s="3">
        <v>686</v>
      </c>
      <c r="M70" s="3">
        <v>693</v>
      </c>
      <c r="N70" s="33">
        <v>767</v>
      </c>
      <c r="O70" s="18">
        <f t="shared" si="30"/>
        <v>8160</v>
      </c>
    </row>
    <row r="71" spans="1:15" ht="15.75" thickBot="1" x14ac:dyDescent="0.3">
      <c r="A71" s="1"/>
      <c r="B71" s="8" t="s">
        <v>19</v>
      </c>
      <c r="C71" s="32">
        <v>935</v>
      </c>
      <c r="D71" s="21">
        <v>650</v>
      </c>
      <c r="E71" s="21">
        <v>945</v>
      </c>
      <c r="F71" s="3">
        <v>685</v>
      </c>
      <c r="G71" s="3">
        <v>809</v>
      </c>
      <c r="H71" s="3">
        <v>1011</v>
      </c>
      <c r="I71" s="3">
        <v>813</v>
      </c>
      <c r="J71" s="3">
        <v>921</v>
      </c>
      <c r="K71" s="3">
        <v>1031</v>
      </c>
      <c r="L71" s="3">
        <v>1191</v>
      </c>
      <c r="M71" s="3">
        <v>970</v>
      </c>
      <c r="N71" s="33">
        <v>972</v>
      </c>
      <c r="O71" s="18">
        <f t="shared" si="30"/>
        <v>10933</v>
      </c>
    </row>
    <row r="72" spans="1:15" ht="15.75" thickBot="1" x14ac:dyDescent="0.3">
      <c r="A72" s="1"/>
      <c r="B72" s="9" t="s">
        <v>51</v>
      </c>
      <c r="C72" s="75">
        <v>993</v>
      </c>
      <c r="D72" s="76">
        <v>633</v>
      </c>
      <c r="E72" s="76">
        <v>885</v>
      </c>
      <c r="F72" s="77">
        <v>897</v>
      </c>
      <c r="G72" s="76">
        <v>949</v>
      </c>
      <c r="H72" s="76">
        <v>986</v>
      </c>
      <c r="I72" s="76">
        <v>878</v>
      </c>
      <c r="J72" s="76">
        <v>1028</v>
      </c>
      <c r="K72" s="76">
        <v>1086</v>
      </c>
      <c r="L72" s="76">
        <v>987</v>
      </c>
      <c r="M72" s="76">
        <v>901</v>
      </c>
      <c r="N72" s="78">
        <v>912</v>
      </c>
      <c r="O72" s="18">
        <f t="shared" si="30"/>
        <v>11135</v>
      </c>
    </row>
    <row r="73" spans="1:15" ht="15.75" thickBot="1" x14ac:dyDescent="0.3">
      <c r="A73" s="1"/>
      <c r="B73" s="38" t="s">
        <v>21</v>
      </c>
      <c r="C73" s="70">
        <f t="shared" ref="C73:O73" si="32">+IF(C68&gt;0,C70/C68,"")</f>
        <v>4.9939024390243905</v>
      </c>
      <c r="D73" s="71">
        <f t="shared" si="32"/>
        <v>3.6370370370370368</v>
      </c>
      <c r="E73" s="71">
        <f t="shared" si="32"/>
        <v>5.2091503267973858</v>
      </c>
      <c r="F73" s="71">
        <f t="shared" si="32"/>
        <v>4.1324503311258276</v>
      </c>
      <c r="G73" s="71">
        <f t="shared" si="32"/>
        <v>4.2</v>
      </c>
      <c r="H73" s="71">
        <f t="shared" si="32"/>
        <v>4.825503355704698</v>
      </c>
      <c r="I73" s="71">
        <f t="shared" si="32"/>
        <v>6.3152173913043477</v>
      </c>
      <c r="J73" s="71">
        <f t="shared" si="32"/>
        <v>5.4629629629629628</v>
      </c>
      <c r="K73" s="71">
        <f t="shared" si="32"/>
        <v>4.552147239263804</v>
      </c>
      <c r="L73" s="71">
        <f t="shared" si="32"/>
        <v>4.1829268292682924</v>
      </c>
      <c r="M73" s="71">
        <f t="shared" si="32"/>
        <v>4.3043478260869561</v>
      </c>
      <c r="N73" s="73">
        <f t="shared" si="32"/>
        <v>4.8238993710691824</v>
      </c>
      <c r="O73" s="47">
        <f t="shared" si="32"/>
        <v>4.6522234891676169</v>
      </c>
    </row>
    <row r="74" spans="1:15" ht="15.75" thickBot="1" x14ac:dyDescent="0.3">
      <c r="A74" s="1"/>
      <c r="B74" s="38" t="s">
        <v>23</v>
      </c>
      <c r="C74" s="42">
        <f t="shared" ref="C74:N74" si="33">+IF(C68&gt;0,C68/C66,"")</f>
        <v>4.0999999999999996</v>
      </c>
      <c r="D74" s="42">
        <f t="shared" si="33"/>
        <v>3.375</v>
      </c>
      <c r="E74" s="42">
        <f t="shared" si="33"/>
        <v>3.8250000000000002</v>
      </c>
      <c r="F74" s="42">
        <f t="shared" si="33"/>
        <v>3.8717948717948718</v>
      </c>
      <c r="G74" s="42">
        <f t="shared" si="33"/>
        <v>4.0789473684210522</v>
      </c>
      <c r="H74" s="42">
        <f t="shared" si="33"/>
        <v>3.8205128205128207</v>
      </c>
      <c r="I74" s="42">
        <f t="shared" si="33"/>
        <v>2.358974358974359</v>
      </c>
      <c r="J74" s="42">
        <f t="shared" si="33"/>
        <v>2.7</v>
      </c>
      <c r="K74" s="42">
        <f t="shared" si="33"/>
        <v>4.0750000000000002</v>
      </c>
      <c r="L74" s="42">
        <f t="shared" si="33"/>
        <v>4.2051282051282053</v>
      </c>
      <c r="M74" s="42">
        <f t="shared" si="33"/>
        <v>4.1282051282051286</v>
      </c>
      <c r="N74" s="46">
        <f t="shared" si="33"/>
        <v>4.0769230769230766</v>
      </c>
      <c r="O74" s="87">
        <f>+IF(O68&gt;0,AVERAGE(C68:N68)/O66,"")</f>
        <v>3.7161016949152539</v>
      </c>
    </row>
    <row r="75" spans="1:15" ht="15.75" thickBot="1" x14ac:dyDescent="0.3">
      <c r="A75" s="1"/>
      <c r="B75" s="38" t="s">
        <v>24</v>
      </c>
      <c r="C75" s="42">
        <f t="shared" ref="C75:O75" si="34">+IF(C68&gt;0,(C69-C72)/C68,"")</f>
        <v>1.5060975609756098</v>
      </c>
      <c r="D75" s="42">
        <f t="shared" si="34"/>
        <v>3.6074074074074076</v>
      </c>
      <c r="E75" s="42">
        <f t="shared" si="34"/>
        <v>2.3202614379084969</v>
      </c>
      <c r="F75" s="42">
        <f t="shared" si="34"/>
        <v>1.8079470198675496</v>
      </c>
      <c r="G75" s="42">
        <f t="shared" si="34"/>
        <v>1.4774193548387098</v>
      </c>
      <c r="H75" s="42">
        <f t="shared" si="34"/>
        <v>1.2348993288590604</v>
      </c>
      <c r="I75" s="42">
        <f t="shared" si="34"/>
        <v>3.597826086956522</v>
      </c>
      <c r="J75" s="42">
        <f t="shared" si="34"/>
        <v>1.962962962962963</v>
      </c>
      <c r="K75" s="42">
        <f t="shared" si="34"/>
        <v>0.69938650306748462</v>
      </c>
      <c r="L75" s="42">
        <f t="shared" si="34"/>
        <v>1.3536585365853659</v>
      </c>
      <c r="M75" s="42">
        <f t="shared" si="34"/>
        <v>1.670807453416149</v>
      </c>
      <c r="N75" s="42">
        <f t="shared" si="34"/>
        <v>1.8679245283018868</v>
      </c>
      <c r="O75" s="47">
        <f t="shared" si="34"/>
        <v>1.8358038768529077</v>
      </c>
    </row>
    <row r="76" spans="1:15" ht="15.75" thickBot="1" x14ac:dyDescent="0.3">
      <c r="A76" s="1"/>
      <c r="B76" s="38" t="s">
        <v>25</v>
      </c>
      <c r="C76" s="42">
        <f t="shared" ref="C76:O76" si="35">+IF(C72&gt;0,(C72/C69)*100,"")</f>
        <v>80.08064516129032</v>
      </c>
      <c r="D76" s="42">
        <f t="shared" si="35"/>
        <v>56.517857142857139</v>
      </c>
      <c r="E76" s="42">
        <f t="shared" si="35"/>
        <v>71.370967741935488</v>
      </c>
      <c r="F76" s="42">
        <f t="shared" si="35"/>
        <v>76.666666666666671</v>
      </c>
      <c r="G76" s="42">
        <f t="shared" si="35"/>
        <v>80.560271646859078</v>
      </c>
      <c r="H76" s="42">
        <f t="shared" si="35"/>
        <v>84.273504273504273</v>
      </c>
      <c r="I76" s="42">
        <f t="shared" si="35"/>
        <v>72.622001654259719</v>
      </c>
      <c r="J76" s="42">
        <f t="shared" si="35"/>
        <v>82.903225806451601</v>
      </c>
      <c r="K76" s="42">
        <f t="shared" si="35"/>
        <v>90.5</v>
      </c>
      <c r="L76" s="42">
        <f t="shared" si="35"/>
        <v>81.637717121588096</v>
      </c>
      <c r="M76" s="42">
        <f t="shared" si="35"/>
        <v>77.008547008547012</v>
      </c>
      <c r="N76" s="46">
        <f t="shared" si="35"/>
        <v>75.434243176178654</v>
      </c>
      <c r="O76" s="47">
        <f t="shared" si="35"/>
        <v>77.56879136189481</v>
      </c>
    </row>
    <row r="77" spans="1:15" ht="15.75" thickBot="1" x14ac:dyDescent="0.3">
      <c r="A77" s="1"/>
      <c r="B77" s="8" t="s">
        <v>26</v>
      </c>
      <c r="C77" s="41">
        <f>+SUM(C78:C79)</f>
        <v>0</v>
      </c>
      <c r="D77" s="41">
        <f t="shared" ref="D77:N77" si="36">+SUM(D78:D79)</f>
        <v>1</v>
      </c>
      <c r="E77" s="41">
        <f t="shared" si="36"/>
        <v>0</v>
      </c>
      <c r="F77" s="41">
        <f t="shared" si="36"/>
        <v>1</v>
      </c>
      <c r="G77" s="41">
        <f t="shared" si="36"/>
        <v>0</v>
      </c>
      <c r="H77" s="41">
        <f t="shared" si="36"/>
        <v>0</v>
      </c>
      <c r="I77" s="41">
        <f t="shared" si="36"/>
        <v>0</v>
      </c>
      <c r="J77" s="41">
        <f t="shared" si="36"/>
        <v>3</v>
      </c>
      <c r="K77" s="41">
        <f t="shared" si="36"/>
        <v>1</v>
      </c>
      <c r="L77" s="41">
        <f t="shared" si="36"/>
        <v>1</v>
      </c>
      <c r="M77" s="41">
        <f t="shared" si="36"/>
        <v>0</v>
      </c>
      <c r="N77" s="41">
        <f t="shared" si="36"/>
        <v>1</v>
      </c>
      <c r="O77" s="18">
        <f>+SUM(C77:N77)</f>
        <v>8</v>
      </c>
    </row>
    <row r="78" spans="1:15" ht="15.75" thickBot="1" x14ac:dyDescent="0.3">
      <c r="A78" s="1"/>
      <c r="B78" s="8" t="s">
        <v>52</v>
      </c>
      <c r="C78" s="32">
        <v>0</v>
      </c>
      <c r="D78" s="21">
        <v>1</v>
      </c>
      <c r="E78" s="21">
        <v>0</v>
      </c>
      <c r="F78" s="3">
        <v>1</v>
      </c>
      <c r="G78" s="3">
        <v>0</v>
      </c>
      <c r="H78" s="3">
        <v>0</v>
      </c>
      <c r="I78" s="3">
        <v>0</v>
      </c>
      <c r="J78" s="3">
        <v>1</v>
      </c>
      <c r="K78" s="3">
        <v>1</v>
      </c>
      <c r="L78" s="3">
        <v>1</v>
      </c>
      <c r="M78" s="3">
        <v>0</v>
      </c>
      <c r="N78" s="33">
        <v>1</v>
      </c>
      <c r="O78" s="18">
        <f>+SUM(C78:N78)</f>
        <v>6</v>
      </c>
    </row>
    <row r="79" spans="1:15" ht="15.75" thickBot="1" x14ac:dyDescent="0.3">
      <c r="A79" s="1"/>
      <c r="B79" s="8" t="s">
        <v>53</v>
      </c>
      <c r="C79" s="32">
        <v>0</v>
      </c>
      <c r="D79" s="21">
        <v>0</v>
      </c>
      <c r="E79" s="21">
        <v>0</v>
      </c>
      <c r="F79" s="3">
        <v>0</v>
      </c>
      <c r="G79" s="3">
        <v>0</v>
      </c>
      <c r="H79" s="3">
        <v>0</v>
      </c>
      <c r="I79" s="3">
        <v>0</v>
      </c>
      <c r="J79" s="3">
        <v>2</v>
      </c>
      <c r="K79" s="3">
        <v>0</v>
      </c>
      <c r="L79" s="3">
        <v>0</v>
      </c>
      <c r="M79" s="3">
        <v>0</v>
      </c>
      <c r="N79" s="33">
        <v>0</v>
      </c>
      <c r="O79" s="18">
        <f>+SUM(C79:N79)</f>
        <v>2</v>
      </c>
    </row>
    <row r="80" spans="1:15" ht="15.75" thickBot="1" x14ac:dyDescent="0.3">
      <c r="A80" s="1"/>
      <c r="B80" s="15" t="s">
        <v>31</v>
      </c>
      <c r="C80" s="25">
        <v>0</v>
      </c>
      <c r="D80" s="25">
        <v>0</v>
      </c>
      <c r="E80" s="25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2</v>
      </c>
      <c r="L80" s="34">
        <v>0</v>
      </c>
      <c r="M80" s="34">
        <v>0</v>
      </c>
      <c r="N80" s="35">
        <v>0</v>
      </c>
      <c r="O80" s="28">
        <f>+SUM(C80:N80)</f>
        <v>2</v>
      </c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6.5" thickBot="1" x14ac:dyDescent="0.3">
      <c r="A83" s="1"/>
      <c r="B83" s="1"/>
      <c r="C83" s="199" t="s">
        <v>49</v>
      </c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199">
        <f>+[3]INICIO!I4</f>
        <v>2017</v>
      </c>
      <c r="O83" s="201"/>
    </row>
    <row r="84" spans="1:15" ht="15.75" thickBot="1" x14ac:dyDescent="0.3">
      <c r="A84" s="1"/>
      <c r="B84" s="7"/>
      <c r="C84" s="39">
        <v>31</v>
      </c>
      <c r="D84" s="39">
        <v>28</v>
      </c>
      <c r="E84" s="39">
        <v>31</v>
      </c>
      <c r="F84" s="39">
        <v>30</v>
      </c>
      <c r="G84" s="39">
        <v>31</v>
      </c>
      <c r="H84" s="39">
        <v>30</v>
      </c>
      <c r="I84" s="39">
        <v>31</v>
      </c>
      <c r="J84" s="39">
        <v>31</v>
      </c>
      <c r="K84" s="39">
        <v>30</v>
      </c>
      <c r="L84" s="39">
        <v>31</v>
      </c>
      <c r="M84" s="39">
        <v>30</v>
      </c>
      <c r="N84" s="39">
        <v>31</v>
      </c>
      <c r="O84" s="86">
        <f>+O197+O217</f>
        <v>15</v>
      </c>
    </row>
    <row r="85" spans="1:15" ht="15.75" thickBot="1" x14ac:dyDescent="0.3">
      <c r="A85" s="1"/>
      <c r="B85" s="10" t="s">
        <v>66</v>
      </c>
      <c r="C85" s="96" t="s">
        <v>1</v>
      </c>
      <c r="D85" s="12" t="s">
        <v>2</v>
      </c>
      <c r="E85" s="12" t="s">
        <v>3</v>
      </c>
      <c r="F85" s="12" t="s">
        <v>4</v>
      </c>
      <c r="G85" s="12" t="s">
        <v>5</v>
      </c>
      <c r="H85" s="12" t="s">
        <v>6</v>
      </c>
      <c r="I85" s="12" t="s">
        <v>7</v>
      </c>
      <c r="J85" s="12" t="s">
        <v>8</v>
      </c>
      <c r="K85" s="13" t="s">
        <v>9</v>
      </c>
      <c r="L85" s="13" t="s">
        <v>10</v>
      </c>
      <c r="M85" s="13" t="s">
        <v>11</v>
      </c>
      <c r="N85" s="97" t="s">
        <v>12</v>
      </c>
      <c r="O85" s="93" t="s">
        <v>13</v>
      </c>
    </row>
    <row r="86" spans="1:15" ht="15.75" thickBot="1" x14ac:dyDescent="0.3">
      <c r="A86" s="1"/>
      <c r="B86" s="8" t="s">
        <v>14</v>
      </c>
      <c r="C86" s="48">
        <f t="shared" ref="C86:N86" si="37">+C199+C219</f>
        <v>15</v>
      </c>
      <c r="D86" s="95">
        <f t="shared" si="37"/>
        <v>15</v>
      </c>
      <c r="E86" s="95">
        <f t="shared" si="37"/>
        <v>15</v>
      </c>
      <c r="F86" s="95">
        <f t="shared" si="37"/>
        <v>15</v>
      </c>
      <c r="G86" s="95">
        <f t="shared" si="37"/>
        <v>15</v>
      </c>
      <c r="H86" s="95">
        <f t="shared" si="37"/>
        <v>15</v>
      </c>
      <c r="I86" s="95">
        <f t="shared" si="37"/>
        <v>15</v>
      </c>
      <c r="J86" s="95">
        <f t="shared" si="37"/>
        <v>15</v>
      </c>
      <c r="K86" s="95">
        <f t="shared" si="37"/>
        <v>15</v>
      </c>
      <c r="L86" s="95">
        <f t="shared" si="37"/>
        <v>15</v>
      </c>
      <c r="M86" s="95">
        <f t="shared" si="37"/>
        <v>15</v>
      </c>
      <c r="N86" s="94">
        <f t="shared" si="37"/>
        <v>15</v>
      </c>
      <c r="O86" s="88">
        <f>+AVERAGE(C86:N86)</f>
        <v>15</v>
      </c>
    </row>
    <row r="87" spans="1:15" ht="15.75" thickBot="1" x14ac:dyDescent="0.3">
      <c r="A87" s="1"/>
      <c r="B87" s="59" t="s">
        <v>15</v>
      </c>
      <c r="C87" s="20">
        <f t="shared" ref="C87:N87" si="38">+C200+C220</f>
        <v>44</v>
      </c>
      <c r="D87" s="32">
        <f t="shared" si="38"/>
        <v>32</v>
      </c>
      <c r="E87" s="32">
        <f t="shared" si="38"/>
        <v>35</v>
      </c>
      <c r="F87" s="32">
        <f t="shared" si="38"/>
        <v>34</v>
      </c>
      <c r="G87" s="32">
        <f t="shared" si="38"/>
        <v>25</v>
      </c>
      <c r="H87" s="32">
        <f t="shared" si="38"/>
        <v>38</v>
      </c>
      <c r="I87" s="32">
        <f t="shared" si="38"/>
        <v>38</v>
      </c>
      <c r="J87" s="32">
        <f t="shared" si="38"/>
        <v>28</v>
      </c>
      <c r="K87" s="32">
        <f t="shared" si="38"/>
        <v>38</v>
      </c>
      <c r="L87" s="32">
        <f t="shared" si="38"/>
        <v>41</v>
      </c>
      <c r="M87" s="32">
        <f t="shared" si="38"/>
        <v>38</v>
      </c>
      <c r="N87" s="89">
        <f t="shared" si="38"/>
        <v>29</v>
      </c>
      <c r="O87" s="18">
        <f t="shared" ref="O87:O92" si="39">+SUM(C87:N87)</f>
        <v>420</v>
      </c>
    </row>
    <row r="88" spans="1:15" ht="15.75" thickBot="1" x14ac:dyDescent="0.3">
      <c r="A88" s="1"/>
      <c r="B88" s="59" t="s">
        <v>16</v>
      </c>
      <c r="C88" s="20">
        <f t="shared" ref="C88:N88" si="40">+C201+C221</f>
        <v>42</v>
      </c>
      <c r="D88" s="32">
        <f t="shared" si="40"/>
        <v>27</v>
      </c>
      <c r="E88" s="32">
        <f t="shared" si="40"/>
        <v>31</v>
      </c>
      <c r="F88" s="32">
        <f t="shared" si="40"/>
        <v>34</v>
      </c>
      <c r="G88" s="32">
        <f t="shared" si="40"/>
        <v>28</v>
      </c>
      <c r="H88" s="32">
        <f t="shared" si="40"/>
        <v>33</v>
      </c>
      <c r="I88" s="32">
        <f t="shared" si="40"/>
        <v>40</v>
      </c>
      <c r="J88" s="32">
        <f t="shared" si="40"/>
        <v>29</v>
      </c>
      <c r="K88" s="32">
        <f t="shared" si="40"/>
        <v>38</v>
      </c>
      <c r="L88" s="32">
        <f t="shared" si="40"/>
        <v>40</v>
      </c>
      <c r="M88" s="32">
        <f t="shared" si="40"/>
        <v>36</v>
      </c>
      <c r="N88" s="89">
        <f t="shared" si="40"/>
        <v>36</v>
      </c>
      <c r="O88" s="18">
        <f t="shared" si="39"/>
        <v>414</v>
      </c>
    </row>
    <row r="89" spans="1:15" ht="15.75" thickBot="1" x14ac:dyDescent="0.3">
      <c r="A89" s="1"/>
      <c r="B89" s="8" t="s">
        <v>17</v>
      </c>
      <c r="C89" s="41">
        <f>+C84*C86</f>
        <v>465</v>
      </c>
      <c r="D89" s="43">
        <f t="shared" ref="D89:N89" si="41">+D84*D86</f>
        <v>420</v>
      </c>
      <c r="E89" s="43">
        <f t="shared" si="41"/>
        <v>465</v>
      </c>
      <c r="F89" s="43">
        <f t="shared" si="41"/>
        <v>450</v>
      </c>
      <c r="G89" s="43">
        <f t="shared" si="41"/>
        <v>465</v>
      </c>
      <c r="H89" s="43">
        <f t="shared" si="41"/>
        <v>450</v>
      </c>
      <c r="I89" s="43">
        <f t="shared" si="41"/>
        <v>465</v>
      </c>
      <c r="J89" s="43">
        <f t="shared" si="41"/>
        <v>465</v>
      </c>
      <c r="K89" s="43">
        <f t="shared" si="41"/>
        <v>450</v>
      </c>
      <c r="L89" s="43">
        <f t="shared" si="41"/>
        <v>465</v>
      </c>
      <c r="M89" s="43">
        <f t="shared" si="41"/>
        <v>450</v>
      </c>
      <c r="N89" s="90">
        <f t="shared" si="41"/>
        <v>465</v>
      </c>
      <c r="O89" s="18">
        <f t="shared" si="39"/>
        <v>5475</v>
      </c>
    </row>
    <row r="90" spans="1:15" ht="15.75" thickBot="1" x14ac:dyDescent="0.3">
      <c r="A90" s="1"/>
      <c r="B90" s="59" t="s">
        <v>18</v>
      </c>
      <c r="C90" s="20">
        <f t="shared" ref="C90:N90" si="42">+C203+C223</f>
        <v>123</v>
      </c>
      <c r="D90" s="32">
        <f t="shared" si="42"/>
        <v>79</v>
      </c>
      <c r="E90" s="32">
        <f t="shared" si="42"/>
        <v>162</v>
      </c>
      <c r="F90" s="32">
        <f t="shared" si="42"/>
        <v>117</v>
      </c>
      <c r="G90" s="32">
        <f t="shared" si="42"/>
        <v>124</v>
      </c>
      <c r="H90" s="32">
        <f t="shared" si="42"/>
        <v>108</v>
      </c>
      <c r="I90" s="32">
        <f t="shared" si="42"/>
        <v>233</v>
      </c>
      <c r="J90" s="32">
        <f t="shared" si="42"/>
        <v>112</v>
      </c>
      <c r="K90" s="32">
        <f t="shared" si="42"/>
        <v>131</v>
      </c>
      <c r="L90" s="32">
        <f t="shared" si="42"/>
        <v>137</v>
      </c>
      <c r="M90" s="32">
        <f t="shared" si="42"/>
        <v>117</v>
      </c>
      <c r="N90" s="89">
        <f t="shared" si="42"/>
        <v>136</v>
      </c>
      <c r="O90" s="18">
        <f t="shared" si="39"/>
        <v>1579</v>
      </c>
    </row>
    <row r="91" spans="1:15" ht="15.75" thickBot="1" x14ac:dyDescent="0.3">
      <c r="A91" s="1"/>
      <c r="B91" s="59" t="s">
        <v>19</v>
      </c>
      <c r="C91" s="20">
        <f t="shared" ref="C91:N91" si="43">+C204+C224</f>
        <v>169</v>
      </c>
      <c r="D91" s="32">
        <f t="shared" si="43"/>
        <v>89</v>
      </c>
      <c r="E91" s="32">
        <f t="shared" si="43"/>
        <v>211</v>
      </c>
      <c r="F91" s="32">
        <f t="shared" si="43"/>
        <v>125</v>
      </c>
      <c r="G91" s="32">
        <f t="shared" si="43"/>
        <v>137</v>
      </c>
      <c r="H91" s="32">
        <f t="shared" si="43"/>
        <v>174</v>
      </c>
      <c r="I91" s="32">
        <f t="shared" si="43"/>
        <v>295</v>
      </c>
      <c r="J91" s="32">
        <f t="shared" si="43"/>
        <v>138</v>
      </c>
      <c r="K91" s="32">
        <f t="shared" si="43"/>
        <v>157</v>
      </c>
      <c r="L91" s="32">
        <f t="shared" si="43"/>
        <v>152</v>
      </c>
      <c r="M91" s="32">
        <f t="shared" si="43"/>
        <v>163</v>
      </c>
      <c r="N91" s="89">
        <f t="shared" si="43"/>
        <v>167</v>
      </c>
      <c r="O91" s="18">
        <f t="shared" si="39"/>
        <v>1977</v>
      </c>
    </row>
    <row r="92" spans="1:15" ht="15.75" thickBot="1" x14ac:dyDescent="0.3">
      <c r="A92" s="1"/>
      <c r="B92" s="60" t="s">
        <v>51</v>
      </c>
      <c r="C92" s="79">
        <f t="shared" ref="C92:N92" si="44">+C205+C225</f>
        <v>134</v>
      </c>
      <c r="D92" s="75">
        <f t="shared" si="44"/>
        <v>120</v>
      </c>
      <c r="E92" s="75">
        <f t="shared" si="44"/>
        <v>151</v>
      </c>
      <c r="F92" s="75">
        <f t="shared" si="44"/>
        <v>128</v>
      </c>
      <c r="G92" s="75">
        <f t="shared" si="44"/>
        <v>154</v>
      </c>
      <c r="H92" s="75">
        <f t="shared" si="44"/>
        <v>165</v>
      </c>
      <c r="I92" s="75">
        <f t="shared" si="44"/>
        <v>231</v>
      </c>
      <c r="J92" s="75">
        <f t="shared" si="44"/>
        <v>137</v>
      </c>
      <c r="K92" s="75">
        <f t="shared" si="44"/>
        <v>146</v>
      </c>
      <c r="L92" s="75">
        <f t="shared" si="44"/>
        <v>179</v>
      </c>
      <c r="M92" s="75">
        <f t="shared" si="44"/>
        <v>121</v>
      </c>
      <c r="N92" s="91">
        <f t="shared" si="44"/>
        <v>128</v>
      </c>
      <c r="O92" s="18">
        <f t="shared" si="39"/>
        <v>1794</v>
      </c>
    </row>
    <row r="93" spans="1:15" ht="15.75" thickBot="1" x14ac:dyDescent="0.3">
      <c r="A93" s="1"/>
      <c r="B93" s="61" t="s">
        <v>21</v>
      </c>
      <c r="C93" s="70">
        <f t="shared" ref="C93:O93" si="45">+IF(C88&gt;0,C90/C88,"")</f>
        <v>2.9285714285714284</v>
      </c>
      <c r="D93" s="71">
        <f t="shared" si="45"/>
        <v>2.925925925925926</v>
      </c>
      <c r="E93" s="71">
        <f t="shared" si="45"/>
        <v>5.225806451612903</v>
      </c>
      <c r="F93" s="71">
        <f t="shared" si="45"/>
        <v>3.4411764705882355</v>
      </c>
      <c r="G93" s="71">
        <f t="shared" si="45"/>
        <v>4.4285714285714288</v>
      </c>
      <c r="H93" s="71">
        <f t="shared" si="45"/>
        <v>3.2727272727272729</v>
      </c>
      <c r="I93" s="71">
        <f t="shared" si="45"/>
        <v>5.8250000000000002</v>
      </c>
      <c r="J93" s="71">
        <f t="shared" si="45"/>
        <v>3.8620689655172415</v>
      </c>
      <c r="K93" s="71">
        <f t="shared" si="45"/>
        <v>3.4473684210526314</v>
      </c>
      <c r="L93" s="71">
        <f t="shared" si="45"/>
        <v>3.4249999999999998</v>
      </c>
      <c r="M93" s="71">
        <f t="shared" si="45"/>
        <v>3.25</v>
      </c>
      <c r="N93" s="68">
        <f t="shared" si="45"/>
        <v>3.7777777777777777</v>
      </c>
      <c r="O93" s="47">
        <f t="shared" si="45"/>
        <v>3.8140096618357489</v>
      </c>
    </row>
    <row r="94" spans="1:15" ht="15.75" thickBot="1" x14ac:dyDescent="0.3">
      <c r="A94" s="1"/>
      <c r="B94" s="61" t="s">
        <v>23</v>
      </c>
      <c r="C94" s="65">
        <f t="shared" ref="C94:N94" si="46">+IF(C88&gt;0,C88/C86,"")</f>
        <v>2.8</v>
      </c>
      <c r="D94" s="42">
        <f t="shared" si="46"/>
        <v>1.8</v>
      </c>
      <c r="E94" s="42">
        <f t="shared" si="46"/>
        <v>2.0666666666666669</v>
      </c>
      <c r="F94" s="42">
        <f t="shared" si="46"/>
        <v>2.2666666666666666</v>
      </c>
      <c r="G94" s="42">
        <f t="shared" si="46"/>
        <v>1.8666666666666667</v>
      </c>
      <c r="H94" s="42">
        <f t="shared" si="46"/>
        <v>2.2000000000000002</v>
      </c>
      <c r="I94" s="42">
        <f t="shared" si="46"/>
        <v>2.6666666666666665</v>
      </c>
      <c r="J94" s="42">
        <f t="shared" si="46"/>
        <v>1.9333333333333333</v>
      </c>
      <c r="K94" s="42">
        <f t="shared" si="46"/>
        <v>2.5333333333333332</v>
      </c>
      <c r="L94" s="42">
        <f t="shared" si="46"/>
        <v>2.6666666666666665</v>
      </c>
      <c r="M94" s="42">
        <f t="shared" si="46"/>
        <v>2.4</v>
      </c>
      <c r="N94" s="46">
        <f t="shared" si="46"/>
        <v>2.4</v>
      </c>
      <c r="O94" s="87">
        <f>+IF(O88&gt;0,AVERAGE(C88:N88)/O86,"")</f>
        <v>2.2999999999999998</v>
      </c>
    </row>
    <row r="95" spans="1:15" ht="15.75" thickBot="1" x14ac:dyDescent="0.3">
      <c r="A95" s="1"/>
      <c r="B95" s="61" t="s">
        <v>24</v>
      </c>
      <c r="C95" s="65">
        <f t="shared" ref="C95:O95" si="47">+IF(C88&gt;0,(C89-C92)/C88,"")</f>
        <v>7.8809523809523814</v>
      </c>
      <c r="D95" s="42">
        <f t="shared" si="47"/>
        <v>11.111111111111111</v>
      </c>
      <c r="E95" s="42">
        <f t="shared" si="47"/>
        <v>10.129032258064516</v>
      </c>
      <c r="F95" s="42">
        <f t="shared" si="47"/>
        <v>9.4705882352941178</v>
      </c>
      <c r="G95" s="42">
        <f t="shared" si="47"/>
        <v>11.107142857142858</v>
      </c>
      <c r="H95" s="42">
        <f t="shared" si="47"/>
        <v>8.6363636363636367</v>
      </c>
      <c r="I95" s="42">
        <f t="shared" si="47"/>
        <v>5.85</v>
      </c>
      <c r="J95" s="42">
        <f t="shared" si="47"/>
        <v>11.310344827586206</v>
      </c>
      <c r="K95" s="42">
        <f t="shared" si="47"/>
        <v>8</v>
      </c>
      <c r="L95" s="42">
        <f t="shared" si="47"/>
        <v>7.15</v>
      </c>
      <c r="M95" s="42">
        <f t="shared" si="47"/>
        <v>9.1388888888888893</v>
      </c>
      <c r="N95" s="46">
        <f t="shared" si="47"/>
        <v>9.3611111111111107</v>
      </c>
      <c r="O95" s="47">
        <f t="shared" si="47"/>
        <v>8.8913043478260878</v>
      </c>
    </row>
    <row r="96" spans="1:15" ht="15.75" thickBot="1" x14ac:dyDescent="0.3">
      <c r="A96" s="1"/>
      <c r="B96" s="61" t="s">
        <v>25</v>
      </c>
      <c r="C96" s="65">
        <f t="shared" ref="C96:O96" si="48">+IF(C92&gt;0,(C92/C89)*100,"")</f>
        <v>28.817204301075268</v>
      </c>
      <c r="D96" s="42">
        <f t="shared" si="48"/>
        <v>28.571428571428569</v>
      </c>
      <c r="E96" s="42">
        <f t="shared" si="48"/>
        <v>32.473118279569889</v>
      </c>
      <c r="F96" s="42">
        <f t="shared" si="48"/>
        <v>28.444444444444443</v>
      </c>
      <c r="G96" s="42">
        <f t="shared" si="48"/>
        <v>33.118279569892472</v>
      </c>
      <c r="H96" s="42">
        <f t="shared" si="48"/>
        <v>36.666666666666664</v>
      </c>
      <c r="I96" s="42">
        <f t="shared" si="48"/>
        <v>49.677419354838712</v>
      </c>
      <c r="J96" s="42">
        <f t="shared" si="48"/>
        <v>29.462365591397848</v>
      </c>
      <c r="K96" s="42">
        <f t="shared" si="48"/>
        <v>32.444444444444443</v>
      </c>
      <c r="L96" s="42">
        <f t="shared" si="48"/>
        <v>38.494623655913976</v>
      </c>
      <c r="M96" s="42">
        <f t="shared" si="48"/>
        <v>26.888888888888889</v>
      </c>
      <c r="N96" s="46">
        <f t="shared" si="48"/>
        <v>27.526881720430108</v>
      </c>
      <c r="O96" s="47">
        <f t="shared" si="48"/>
        <v>32.767123287671232</v>
      </c>
    </row>
    <row r="97" spans="1:15" ht="15.75" thickBot="1" x14ac:dyDescent="0.3">
      <c r="A97" s="1"/>
      <c r="B97" s="59" t="s">
        <v>26</v>
      </c>
      <c r="C97" s="64">
        <f>+SUM(C98:C99)</f>
        <v>2</v>
      </c>
      <c r="D97" s="41">
        <f t="shared" ref="D97:N97" si="49">+SUM(D98:D99)</f>
        <v>0</v>
      </c>
      <c r="E97" s="41">
        <f t="shared" si="49"/>
        <v>0</v>
      </c>
      <c r="F97" s="41">
        <f t="shared" si="49"/>
        <v>0</v>
      </c>
      <c r="G97" s="41">
        <f t="shared" si="49"/>
        <v>1</v>
      </c>
      <c r="H97" s="41">
        <f t="shared" si="49"/>
        <v>1</v>
      </c>
      <c r="I97" s="41">
        <f t="shared" si="49"/>
        <v>1</v>
      </c>
      <c r="J97" s="41">
        <f t="shared" si="49"/>
        <v>2</v>
      </c>
      <c r="K97" s="41">
        <f t="shared" si="49"/>
        <v>0</v>
      </c>
      <c r="L97" s="41">
        <f t="shared" si="49"/>
        <v>2</v>
      </c>
      <c r="M97" s="41">
        <f t="shared" si="49"/>
        <v>2</v>
      </c>
      <c r="N97" s="45">
        <f t="shared" si="49"/>
        <v>2</v>
      </c>
      <c r="O97" s="18">
        <f>+SUM(C97:N97)</f>
        <v>13</v>
      </c>
    </row>
    <row r="98" spans="1:15" ht="15.75" thickBot="1" x14ac:dyDescent="0.3">
      <c r="A98" s="1"/>
      <c r="B98" s="59" t="s">
        <v>52</v>
      </c>
      <c r="C98" s="20">
        <f t="shared" ref="C98:N98" si="50">+C211+C231</f>
        <v>2</v>
      </c>
      <c r="D98" s="32">
        <f t="shared" si="50"/>
        <v>0</v>
      </c>
      <c r="E98" s="32">
        <f t="shared" si="50"/>
        <v>0</v>
      </c>
      <c r="F98" s="32">
        <f t="shared" si="50"/>
        <v>0</v>
      </c>
      <c r="G98" s="32">
        <f t="shared" si="50"/>
        <v>1</v>
      </c>
      <c r="H98" s="32">
        <f t="shared" si="50"/>
        <v>0</v>
      </c>
      <c r="I98" s="32">
        <f t="shared" si="50"/>
        <v>1</v>
      </c>
      <c r="J98" s="32">
        <f t="shared" si="50"/>
        <v>0</v>
      </c>
      <c r="K98" s="32">
        <f t="shared" si="50"/>
        <v>0</v>
      </c>
      <c r="L98" s="32">
        <f t="shared" si="50"/>
        <v>1</v>
      </c>
      <c r="M98" s="32">
        <f t="shared" si="50"/>
        <v>1</v>
      </c>
      <c r="N98" s="89">
        <f t="shared" si="50"/>
        <v>1</v>
      </c>
      <c r="O98" s="18">
        <f>+SUM(C98:N98)</f>
        <v>7</v>
      </c>
    </row>
    <row r="99" spans="1:15" ht="15.75" thickBot="1" x14ac:dyDescent="0.3">
      <c r="A99" s="1"/>
      <c r="B99" s="59" t="s">
        <v>53</v>
      </c>
      <c r="C99" s="20">
        <v>0</v>
      </c>
      <c r="D99" s="32">
        <f t="shared" ref="D99:N99" si="51">+D212+D232</f>
        <v>0</v>
      </c>
      <c r="E99" s="32">
        <f t="shared" si="51"/>
        <v>0</v>
      </c>
      <c r="F99" s="32">
        <f t="shared" si="51"/>
        <v>0</v>
      </c>
      <c r="G99" s="32">
        <f t="shared" si="51"/>
        <v>0</v>
      </c>
      <c r="H99" s="32">
        <f t="shared" si="51"/>
        <v>1</v>
      </c>
      <c r="I99" s="32">
        <f t="shared" si="51"/>
        <v>0</v>
      </c>
      <c r="J99" s="32">
        <f t="shared" si="51"/>
        <v>2</v>
      </c>
      <c r="K99" s="32">
        <f t="shared" si="51"/>
        <v>0</v>
      </c>
      <c r="L99" s="32">
        <f t="shared" si="51"/>
        <v>1</v>
      </c>
      <c r="M99" s="32">
        <f t="shared" si="51"/>
        <v>1</v>
      </c>
      <c r="N99" s="89">
        <f t="shared" si="51"/>
        <v>1</v>
      </c>
      <c r="O99" s="18">
        <f>+SUM(C99:N99)</f>
        <v>6</v>
      </c>
    </row>
    <row r="100" spans="1:15" ht="15.75" thickBot="1" x14ac:dyDescent="0.3">
      <c r="A100" s="1"/>
      <c r="B100" s="62" t="s">
        <v>31</v>
      </c>
      <c r="C100" s="24">
        <f>+C213+C233</f>
        <v>0</v>
      </c>
      <c r="D100" s="66">
        <f t="shared" ref="D100:N100" si="52">+D213+D233</f>
        <v>1</v>
      </c>
      <c r="E100" s="66">
        <f t="shared" si="52"/>
        <v>0</v>
      </c>
      <c r="F100" s="66">
        <f t="shared" si="52"/>
        <v>0</v>
      </c>
      <c r="G100" s="66">
        <f t="shared" si="52"/>
        <v>0</v>
      </c>
      <c r="H100" s="66">
        <f t="shared" si="52"/>
        <v>0</v>
      </c>
      <c r="I100" s="66">
        <f t="shared" si="52"/>
        <v>0</v>
      </c>
      <c r="J100" s="66">
        <f t="shared" si="52"/>
        <v>0</v>
      </c>
      <c r="K100" s="66">
        <f t="shared" si="52"/>
        <v>0</v>
      </c>
      <c r="L100" s="66">
        <f t="shared" si="52"/>
        <v>0</v>
      </c>
      <c r="M100" s="66">
        <f t="shared" si="52"/>
        <v>0</v>
      </c>
      <c r="N100" s="92">
        <f t="shared" si="52"/>
        <v>0</v>
      </c>
      <c r="O100" s="28">
        <f>+SUM(C100:N100)</f>
        <v>1</v>
      </c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6.5" thickBot="1" x14ac:dyDescent="0.3">
      <c r="A103" s="1"/>
      <c r="B103" s="1"/>
      <c r="C103" s="199" t="s">
        <v>49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199">
        <f>+[3]INICIO!I4</f>
        <v>2017</v>
      </c>
      <c r="O103" s="201"/>
    </row>
    <row r="104" spans="1:15" ht="15.75" thickBot="1" x14ac:dyDescent="0.3">
      <c r="A104" s="1"/>
      <c r="B104" s="7"/>
      <c r="C104" s="39">
        <v>31</v>
      </c>
      <c r="D104" s="39">
        <v>28</v>
      </c>
      <c r="E104" s="39">
        <v>31</v>
      </c>
      <c r="F104" s="39">
        <v>30</v>
      </c>
      <c r="G104" s="39">
        <v>31</v>
      </c>
      <c r="H104" s="39">
        <v>30</v>
      </c>
      <c r="I104" s="39">
        <v>31</v>
      </c>
      <c r="J104" s="39">
        <v>31</v>
      </c>
      <c r="K104" s="39">
        <v>30</v>
      </c>
      <c r="L104" s="39">
        <v>31</v>
      </c>
      <c r="M104" s="39">
        <v>30</v>
      </c>
      <c r="N104" s="39">
        <v>31</v>
      </c>
      <c r="O104" s="86">
        <v>36</v>
      </c>
    </row>
    <row r="105" spans="1:15" ht="15.75" thickBot="1" x14ac:dyDescent="0.3">
      <c r="A105" s="1"/>
      <c r="B105" s="10" t="s">
        <v>56</v>
      </c>
      <c r="C105" s="11" t="s">
        <v>1</v>
      </c>
      <c r="D105" s="12" t="s">
        <v>2</v>
      </c>
      <c r="E105" s="12" t="s">
        <v>3</v>
      </c>
      <c r="F105" s="12" t="s">
        <v>4</v>
      </c>
      <c r="G105" s="12" t="s">
        <v>5</v>
      </c>
      <c r="H105" s="12" t="s">
        <v>6</v>
      </c>
      <c r="I105" s="12" t="s">
        <v>7</v>
      </c>
      <c r="J105" s="12" t="s">
        <v>8</v>
      </c>
      <c r="K105" s="13" t="s">
        <v>9</v>
      </c>
      <c r="L105" s="13" t="s">
        <v>10</v>
      </c>
      <c r="M105" s="13" t="s">
        <v>11</v>
      </c>
      <c r="N105" s="13" t="s">
        <v>12</v>
      </c>
      <c r="O105" s="14" t="s">
        <v>13</v>
      </c>
    </row>
    <row r="106" spans="1:15" ht="15.75" thickBot="1" x14ac:dyDescent="0.3">
      <c r="A106" s="1"/>
      <c r="B106" s="8" t="s">
        <v>14</v>
      </c>
      <c r="C106" s="44">
        <v>27</v>
      </c>
      <c r="D106" s="44">
        <v>26</v>
      </c>
      <c r="E106" s="44">
        <v>28</v>
      </c>
      <c r="F106" s="44">
        <v>29</v>
      </c>
      <c r="G106" s="44">
        <v>29</v>
      </c>
      <c r="H106" s="44">
        <v>28</v>
      </c>
      <c r="I106" s="44">
        <v>29</v>
      </c>
      <c r="J106" s="44">
        <v>28</v>
      </c>
      <c r="K106" s="44">
        <v>29</v>
      </c>
      <c r="L106" s="44">
        <v>28</v>
      </c>
      <c r="M106" s="44">
        <v>28</v>
      </c>
      <c r="N106" s="48">
        <v>28</v>
      </c>
      <c r="O106" s="88">
        <f>+AVERAGE(C106:N106)</f>
        <v>28.083333333333332</v>
      </c>
    </row>
    <row r="107" spans="1:15" ht="15.75" thickBot="1" x14ac:dyDescent="0.3">
      <c r="A107" s="1"/>
      <c r="B107" s="8" t="s">
        <v>15</v>
      </c>
      <c r="C107" s="32">
        <v>94</v>
      </c>
      <c r="D107" s="21">
        <v>88</v>
      </c>
      <c r="E107" s="21">
        <v>118</v>
      </c>
      <c r="F107" s="3">
        <v>107</v>
      </c>
      <c r="G107" s="3">
        <v>86</v>
      </c>
      <c r="H107" s="3">
        <v>88</v>
      </c>
      <c r="I107" s="3">
        <v>67</v>
      </c>
      <c r="J107" s="3">
        <v>54</v>
      </c>
      <c r="K107" s="3">
        <v>84</v>
      </c>
      <c r="L107" s="3">
        <v>107</v>
      </c>
      <c r="M107" s="3">
        <v>76</v>
      </c>
      <c r="N107" s="33">
        <v>54</v>
      </c>
      <c r="O107" s="18">
        <f t="shared" ref="O107:O112" si="53">+SUM(C107:N107)</f>
        <v>1023</v>
      </c>
    </row>
    <row r="108" spans="1:15" ht="15.75" thickBot="1" x14ac:dyDescent="0.3">
      <c r="A108" s="1"/>
      <c r="B108" s="8" t="s">
        <v>16</v>
      </c>
      <c r="C108" s="32">
        <v>93</v>
      </c>
      <c r="D108" s="21">
        <v>83</v>
      </c>
      <c r="E108" s="21">
        <v>114</v>
      </c>
      <c r="F108" s="3">
        <v>117</v>
      </c>
      <c r="G108" s="3">
        <v>73</v>
      </c>
      <c r="H108" s="3">
        <v>100</v>
      </c>
      <c r="I108" s="3">
        <v>69</v>
      </c>
      <c r="J108" s="3">
        <v>56</v>
      </c>
      <c r="K108" s="3">
        <v>76</v>
      </c>
      <c r="L108" s="3">
        <v>106</v>
      </c>
      <c r="M108" s="3">
        <v>77</v>
      </c>
      <c r="N108" s="33">
        <v>58</v>
      </c>
      <c r="O108" s="18">
        <f t="shared" si="53"/>
        <v>1022</v>
      </c>
    </row>
    <row r="109" spans="1:15" ht="15.75" thickBot="1" x14ac:dyDescent="0.3">
      <c r="A109" s="1"/>
      <c r="B109" s="8" t="s">
        <v>17</v>
      </c>
      <c r="C109" s="41">
        <f>+C104*C106</f>
        <v>837</v>
      </c>
      <c r="D109" s="41">
        <f t="shared" ref="D109:N109" si="54">+D104*D106</f>
        <v>728</v>
      </c>
      <c r="E109" s="41">
        <f t="shared" si="54"/>
        <v>868</v>
      </c>
      <c r="F109" s="41">
        <f t="shared" si="54"/>
        <v>870</v>
      </c>
      <c r="G109" s="41">
        <f t="shared" si="54"/>
        <v>899</v>
      </c>
      <c r="H109" s="41">
        <f t="shared" si="54"/>
        <v>840</v>
      </c>
      <c r="I109" s="41">
        <f t="shared" si="54"/>
        <v>899</v>
      </c>
      <c r="J109" s="41">
        <f t="shared" si="54"/>
        <v>868</v>
      </c>
      <c r="K109" s="41">
        <f t="shared" si="54"/>
        <v>870</v>
      </c>
      <c r="L109" s="41">
        <f t="shared" si="54"/>
        <v>868</v>
      </c>
      <c r="M109" s="41">
        <f t="shared" si="54"/>
        <v>840</v>
      </c>
      <c r="N109" s="41">
        <f t="shared" si="54"/>
        <v>868</v>
      </c>
      <c r="O109" s="18">
        <f t="shared" si="53"/>
        <v>10255</v>
      </c>
    </row>
    <row r="110" spans="1:15" ht="15.75" thickBot="1" x14ac:dyDescent="0.3">
      <c r="A110" s="1"/>
      <c r="B110" s="8" t="s">
        <v>18</v>
      </c>
      <c r="C110" s="32">
        <v>312</v>
      </c>
      <c r="D110" s="21">
        <v>282</v>
      </c>
      <c r="E110" s="21">
        <v>428</v>
      </c>
      <c r="F110" s="3">
        <v>418</v>
      </c>
      <c r="G110" s="3">
        <v>226</v>
      </c>
      <c r="H110" s="3">
        <v>342</v>
      </c>
      <c r="I110" s="3">
        <v>268</v>
      </c>
      <c r="J110" s="3">
        <v>203</v>
      </c>
      <c r="K110" s="3">
        <v>251</v>
      </c>
      <c r="L110" s="3">
        <v>358</v>
      </c>
      <c r="M110" s="3">
        <v>276</v>
      </c>
      <c r="N110" s="33">
        <v>221</v>
      </c>
      <c r="O110" s="18">
        <f t="shared" si="53"/>
        <v>3585</v>
      </c>
    </row>
    <row r="111" spans="1:15" ht="15.75" thickBot="1" x14ac:dyDescent="0.3">
      <c r="A111" s="1"/>
      <c r="B111" s="8" t="s">
        <v>19</v>
      </c>
      <c r="C111" s="32">
        <v>343</v>
      </c>
      <c r="D111" s="21">
        <v>303</v>
      </c>
      <c r="E111" s="21">
        <v>488</v>
      </c>
      <c r="F111" s="3">
        <v>476</v>
      </c>
      <c r="G111" s="3">
        <v>255</v>
      </c>
      <c r="H111" s="3">
        <v>404</v>
      </c>
      <c r="I111" s="3">
        <v>282</v>
      </c>
      <c r="J111" s="3">
        <v>211</v>
      </c>
      <c r="K111" s="3">
        <v>258</v>
      </c>
      <c r="L111" s="3">
        <v>383</v>
      </c>
      <c r="M111" s="3">
        <v>322</v>
      </c>
      <c r="N111" s="33">
        <v>251</v>
      </c>
      <c r="O111" s="18">
        <f t="shared" si="53"/>
        <v>3976</v>
      </c>
    </row>
    <row r="112" spans="1:15" ht="15.75" thickBot="1" x14ac:dyDescent="0.3">
      <c r="A112" s="1"/>
      <c r="B112" s="9" t="s">
        <v>51</v>
      </c>
      <c r="C112" s="75">
        <v>335</v>
      </c>
      <c r="D112" s="76">
        <v>354</v>
      </c>
      <c r="E112" s="76">
        <v>494</v>
      </c>
      <c r="F112" s="77">
        <v>431</v>
      </c>
      <c r="G112" s="76">
        <v>315</v>
      </c>
      <c r="H112" s="76">
        <v>338</v>
      </c>
      <c r="I112" s="76">
        <v>250</v>
      </c>
      <c r="J112" s="76">
        <v>204</v>
      </c>
      <c r="K112" s="76">
        <v>282</v>
      </c>
      <c r="L112" s="76">
        <v>385</v>
      </c>
      <c r="M112" s="76">
        <v>269</v>
      </c>
      <c r="N112" s="78">
        <v>248</v>
      </c>
      <c r="O112" s="18">
        <f t="shared" si="53"/>
        <v>3905</v>
      </c>
    </row>
    <row r="113" spans="1:15" ht="15.75" thickBot="1" x14ac:dyDescent="0.3">
      <c r="A113" s="1"/>
      <c r="B113" s="38" t="s">
        <v>21</v>
      </c>
      <c r="C113" s="70">
        <f t="shared" ref="C113:O113" si="55">+IF(C108&gt;0,C110/C108,"")</f>
        <v>3.3548387096774195</v>
      </c>
      <c r="D113" s="71">
        <f t="shared" si="55"/>
        <v>3.3975903614457832</v>
      </c>
      <c r="E113" s="71">
        <f t="shared" si="55"/>
        <v>3.7543859649122808</v>
      </c>
      <c r="F113" s="71">
        <f t="shared" si="55"/>
        <v>3.5726495726495728</v>
      </c>
      <c r="G113" s="71">
        <f t="shared" si="55"/>
        <v>3.095890410958904</v>
      </c>
      <c r="H113" s="71">
        <f t="shared" si="55"/>
        <v>3.42</v>
      </c>
      <c r="I113" s="71">
        <f t="shared" si="55"/>
        <v>3.8840579710144927</v>
      </c>
      <c r="J113" s="71">
        <f t="shared" si="55"/>
        <v>3.625</v>
      </c>
      <c r="K113" s="71">
        <f t="shared" si="55"/>
        <v>3.3026315789473686</v>
      </c>
      <c r="L113" s="71">
        <f t="shared" si="55"/>
        <v>3.3773584905660377</v>
      </c>
      <c r="M113" s="71">
        <f t="shared" si="55"/>
        <v>3.5844155844155843</v>
      </c>
      <c r="N113" s="73">
        <f t="shared" si="55"/>
        <v>3.8103448275862069</v>
      </c>
      <c r="O113" s="47">
        <f t="shared" si="55"/>
        <v>3.5078277886497067</v>
      </c>
    </row>
    <row r="114" spans="1:15" ht="15.75" thickBot="1" x14ac:dyDescent="0.3">
      <c r="A114" s="1"/>
      <c r="B114" s="38" t="s">
        <v>23</v>
      </c>
      <c r="C114" s="42">
        <f t="shared" ref="C114:N114" si="56">+IF(C108&gt;0,C108/C106,"")</f>
        <v>3.4444444444444446</v>
      </c>
      <c r="D114" s="42">
        <f t="shared" si="56"/>
        <v>3.1923076923076925</v>
      </c>
      <c r="E114" s="42">
        <f t="shared" si="56"/>
        <v>4.0714285714285712</v>
      </c>
      <c r="F114" s="42">
        <f t="shared" si="56"/>
        <v>4.0344827586206895</v>
      </c>
      <c r="G114" s="42">
        <f t="shared" si="56"/>
        <v>2.5172413793103448</v>
      </c>
      <c r="H114" s="42">
        <f t="shared" si="56"/>
        <v>3.5714285714285716</v>
      </c>
      <c r="I114" s="42">
        <f t="shared" si="56"/>
        <v>2.3793103448275863</v>
      </c>
      <c r="J114" s="42">
        <f t="shared" si="56"/>
        <v>2</v>
      </c>
      <c r="K114" s="42">
        <f t="shared" si="56"/>
        <v>2.6206896551724137</v>
      </c>
      <c r="L114" s="42">
        <f t="shared" si="56"/>
        <v>3.7857142857142856</v>
      </c>
      <c r="M114" s="42">
        <f t="shared" si="56"/>
        <v>2.75</v>
      </c>
      <c r="N114" s="46">
        <f t="shared" si="56"/>
        <v>2.0714285714285716</v>
      </c>
      <c r="O114" s="87">
        <f>+IF(O108&gt;0,AVERAGE(C108:N108)/O106,"")</f>
        <v>3.0326409495548963</v>
      </c>
    </row>
    <row r="115" spans="1:15" ht="15.75" thickBot="1" x14ac:dyDescent="0.3">
      <c r="A115" s="1"/>
      <c r="B115" s="38" t="s">
        <v>24</v>
      </c>
      <c r="C115" s="42">
        <f t="shared" ref="C115:O115" si="57">+IF(C108&gt;0,(C109-C112)/C108,"")</f>
        <v>5.397849462365591</v>
      </c>
      <c r="D115" s="42">
        <f t="shared" si="57"/>
        <v>4.5060240963855422</v>
      </c>
      <c r="E115" s="42">
        <f t="shared" si="57"/>
        <v>3.2807017543859649</v>
      </c>
      <c r="F115" s="42">
        <f t="shared" si="57"/>
        <v>3.7521367521367521</v>
      </c>
      <c r="G115" s="42">
        <f t="shared" si="57"/>
        <v>8</v>
      </c>
      <c r="H115" s="42">
        <f t="shared" si="57"/>
        <v>5.0199999999999996</v>
      </c>
      <c r="I115" s="42">
        <f t="shared" si="57"/>
        <v>9.4057971014492754</v>
      </c>
      <c r="J115" s="42">
        <f t="shared" si="57"/>
        <v>11.857142857142858</v>
      </c>
      <c r="K115" s="42">
        <f t="shared" si="57"/>
        <v>7.7368421052631575</v>
      </c>
      <c r="L115" s="42">
        <f t="shared" si="57"/>
        <v>4.5566037735849054</v>
      </c>
      <c r="M115" s="42">
        <f t="shared" si="57"/>
        <v>7.4155844155844157</v>
      </c>
      <c r="N115" s="42">
        <f t="shared" si="57"/>
        <v>10.689655172413794</v>
      </c>
      <c r="O115" s="47">
        <f t="shared" si="57"/>
        <v>6.2133072407045011</v>
      </c>
    </row>
    <row r="116" spans="1:15" ht="15.75" thickBot="1" x14ac:dyDescent="0.3">
      <c r="A116" s="1"/>
      <c r="B116" s="38" t="s">
        <v>25</v>
      </c>
      <c r="C116" s="42">
        <f t="shared" ref="C116:O116" si="58">+IF(C112&gt;0,(C112/C109)*100,"")</f>
        <v>40.023894862604543</v>
      </c>
      <c r="D116" s="42">
        <f t="shared" si="58"/>
        <v>48.626373626373628</v>
      </c>
      <c r="E116" s="42">
        <f t="shared" si="58"/>
        <v>56.912442396313367</v>
      </c>
      <c r="F116" s="42">
        <f t="shared" si="58"/>
        <v>49.540229885057471</v>
      </c>
      <c r="G116" s="42">
        <f t="shared" si="58"/>
        <v>35.038932146829808</v>
      </c>
      <c r="H116" s="42">
        <f t="shared" si="58"/>
        <v>40.238095238095241</v>
      </c>
      <c r="I116" s="42">
        <f t="shared" si="58"/>
        <v>27.808676307007786</v>
      </c>
      <c r="J116" s="42">
        <f t="shared" si="58"/>
        <v>23.502304147465438</v>
      </c>
      <c r="K116" s="42">
        <f t="shared" si="58"/>
        <v>32.41379310344827</v>
      </c>
      <c r="L116" s="42">
        <f t="shared" si="58"/>
        <v>44.354838709677416</v>
      </c>
      <c r="M116" s="42">
        <f t="shared" si="58"/>
        <v>32.023809523809518</v>
      </c>
      <c r="N116" s="46">
        <f t="shared" si="58"/>
        <v>28.571428571428569</v>
      </c>
      <c r="O116" s="47">
        <f t="shared" si="58"/>
        <v>38.078985860555825</v>
      </c>
    </row>
    <row r="117" spans="1:15" ht="15.75" thickBot="1" x14ac:dyDescent="0.3">
      <c r="A117" s="1"/>
      <c r="B117" s="8" t="s">
        <v>26</v>
      </c>
      <c r="C117" s="41">
        <f>+SUM(C118:C119)</f>
        <v>0</v>
      </c>
      <c r="D117" s="41">
        <f t="shared" ref="D117:N117" si="59">+SUM(D118:D119)</f>
        <v>0</v>
      </c>
      <c r="E117" s="41">
        <f t="shared" si="59"/>
        <v>0</v>
      </c>
      <c r="F117" s="41">
        <f t="shared" si="59"/>
        <v>0</v>
      </c>
      <c r="G117" s="41">
        <f t="shared" si="59"/>
        <v>0</v>
      </c>
      <c r="H117" s="41">
        <f t="shared" si="59"/>
        <v>0</v>
      </c>
      <c r="I117" s="41">
        <f t="shared" si="59"/>
        <v>0</v>
      </c>
      <c r="J117" s="41">
        <f t="shared" si="59"/>
        <v>0</v>
      </c>
      <c r="K117" s="41">
        <f t="shared" si="59"/>
        <v>0</v>
      </c>
      <c r="L117" s="41">
        <f t="shared" si="59"/>
        <v>0</v>
      </c>
      <c r="M117" s="41">
        <f t="shared" si="59"/>
        <v>0</v>
      </c>
      <c r="N117" s="41">
        <f t="shared" si="59"/>
        <v>0</v>
      </c>
      <c r="O117" s="18">
        <f>+SUM(C117:N117)</f>
        <v>0</v>
      </c>
    </row>
    <row r="118" spans="1:15" ht="15.75" thickBot="1" x14ac:dyDescent="0.3">
      <c r="A118" s="1"/>
      <c r="B118" s="8" t="s">
        <v>52</v>
      </c>
      <c r="C118" s="32">
        <v>0</v>
      </c>
      <c r="D118" s="21">
        <v>0</v>
      </c>
      <c r="E118" s="21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3">
        <v>0</v>
      </c>
      <c r="O118" s="18">
        <f>+SUM(C118:N118)</f>
        <v>0</v>
      </c>
    </row>
    <row r="119" spans="1:15" ht="15.75" thickBot="1" x14ac:dyDescent="0.3">
      <c r="A119" s="1"/>
      <c r="B119" s="8" t="s">
        <v>53</v>
      </c>
      <c r="C119" s="32">
        <v>0</v>
      </c>
      <c r="D119" s="21">
        <v>0</v>
      </c>
      <c r="E119" s="21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3">
        <v>0</v>
      </c>
      <c r="O119" s="18">
        <f>+SUM(C119:N119)</f>
        <v>0</v>
      </c>
    </row>
    <row r="120" spans="1:15" ht="15.75" thickBot="1" x14ac:dyDescent="0.3">
      <c r="A120" s="1"/>
      <c r="B120" s="15" t="s">
        <v>31</v>
      </c>
      <c r="C120" s="25">
        <v>0</v>
      </c>
      <c r="D120" s="25">
        <v>0</v>
      </c>
      <c r="E120" s="25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5">
        <v>0</v>
      </c>
      <c r="O120" s="28">
        <f>+SUM(C120:N120)</f>
        <v>0</v>
      </c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6.5" thickBot="1" x14ac:dyDescent="0.3">
      <c r="A123" s="1"/>
      <c r="B123" s="1"/>
      <c r="C123" s="199" t="s">
        <v>49</v>
      </c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199">
        <f>+[3]INICIO!I4</f>
        <v>2017</v>
      </c>
      <c r="O123" s="201"/>
    </row>
    <row r="124" spans="1:15" ht="15.75" thickBot="1" x14ac:dyDescent="0.3">
      <c r="A124" s="1"/>
      <c r="B124" s="7"/>
      <c r="C124" s="39">
        <v>31</v>
      </c>
      <c r="D124" s="39">
        <v>28</v>
      </c>
      <c r="E124" s="39">
        <v>31</v>
      </c>
      <c r="F124" s="39">
        <v>30</v>
      </c>
      <c r="G124" s="39">
        <v>31</v>
      </c>
      <c r="H124" s="39">
        <v>30</v>
      </c>
      <c r="I124" s="39">
        <v>31</v>
      </c>
      <c r="J124" s="39">
        <v>31</v>
      </c>
      <c r="K124" s="39">
        <v>30</v>
      </c>
      <c r="L124" s="39">
        <v>31</v>
      </c>
      <c r="M124" s="39">
        <v>30</v>
      </c>
      <c r="N124" s="39">
        <v>31</v>
      </c>
      <c r="O124" s="86">
        <v>8</v>
      </c>
    </row>
    <row r="125" spans="1:15" ht="15.75" thickBot="1" x14ac:dyDescent="0.3">
      <c r="A125" s="1"/>
      <c r="B125" s="10" t="s">
        <v>57</v>
      </c>
      <c r="C125" s="11" t="s">
        <v>1</v>
      </c>
      <c r="D125" s="12" t="s">
        <v>2</v>
      </c>
      <c r="E125" s="12" t="s">
        <v>3</v>
      </c>
      <c r="F125" s="12" t="s">
        <v>4</v>
      </c>
      <c r="G125" s="12" t="s">
        <v>5</v>
      </c>
      <c r="H125" s="12" t="s">
        <v>6</v>
      </c>
      <c r="I125" s="12" t="s">
        <v>7</v>
      </c>
      <c r="J125" s="12" t="s">
        <v>8</v>
      </c>
      <c r="K125" s="13" t="s">
        <v>9</v>
      </c>
      <c r="L125" s="13" t="s">
        <v>10</v>
      </c>
      <c r="M125" s="13" t="s">
        <v>11</v>
      </c>
      <c r="N125" s="13" t="s">
        <v>12</v>
      </c>
      <c r="O125" s="14" t="s">
        <v>13</v>
      </c>
    </row>
    <row r="126" spans="1:15" ht="15.75" thickBot="1" x14ac:dyDescent="0.3">
      <c r="A126" s="1"/>
      <c r="B126" s="8" t="s">
        <v>14</v>
      </c>
      <c r="C126" s="44">
        <v>8</v>
      </c>
      <c r="D126" s="44">
        <v>8</v>
      </c>
      <c r="E126" s="44">
        <v>8</v>
      </c>
      <c r="F126" s="44">
        <v>8</v>
      </c>
      <c r="G126" s="44">
        <v>8</v>
      </c>
      <c r="H126" s="44">
        <v>8</v>
      </c>
      <c r="I126" s="44">
        <v>8</v>
      </c>
      <c r="J126" s="44">
        <v>8</v>
      </c>
      <c r="K126" s="44">
        <v>8</v>
      </c>
      <c r="L126" s="44">
        <v>8</v>
      </c>
      <c r="M126" s="44">
        <v>8</v>
      </c>
      <c r="N126" s="48">
        <v>8</v>
      </c>
      <c r="O126" s="36">
        <f>+AVERAGE(C126:N126)</f>
        <v>8</v>
      </c>
    </row>
    <row r="127" spans="1:15" ht="15.75" thickBot="1" x14ac:dyDescent="0.3">
      <c r="A127" s="1"/>
      <c r="B127" s="8" t="s">
        <v>15</v>
      </c>
      <c r="C127" s="32">
        <v>36</v>
      </c>
      <c r="D127" s="21">
        <v>45</v>
      </c>
      <c r="E127" s="21">
        <v>49</v>
      </c>
      <c r="F127" s="3">
        <v>40</v>
      </c>
      <c r="G127" s="3">
        <v>64</v>
      </c>
      <c r="H127" s="3">
        <v>53</v>
      </c>
      <c r="I127" s="3">
        <v>27</v>
      </c>
      <c r="J127" s="3">
        <v>48</v>
      </c>
      <c r="K127" s="3">
        <v>45</v>
      </c>
      <c r="L127" s="3">
        <v>61</v>
      </c>
      <c r="M127" s="3">
        <v>60</v>
      </c>
      <c r="N127" s="33">
        <v>58</v>
      </c>
      <c r="O127" s="18">
        <f t="shared" ref="O127:O132" si="60">+SUM(C127:N127)</f>
        <v>586</v>
      </c>
    </row>
    <row r="128" spans="1:15" ht="15.75" thickBot="1" x14ac:dyDescent="0.3">
      <c r="A128" s="1"/>
      <c r="B128" s="8" t="s">
        <v>16</v>
      </c>
      <c r="C128" s="32">
        <v>33</v>
      </c>
      <c r="D128" s="21">
        <v>44</v>
      </c>
      <c r="E128" s="21">
        <v>48</v>
      </c>
      <c r="F128" s="3">
        <v>44</v>
      </c>
      <c r="G128" s="3">
        <v>59</v>
      </c>
      <c r="H128" s="3">
        <v>57</v>
      </c>
      <c r="I128" s="3">
        <v>27</v>
      </c>
      <c r="J128" s="3">
        <v>50</v>
      </c>
      <c r="K128" s="3">
        <v>45</v>
      </c>
      <c r="L128" s="3">
        <v>62</v>
      </c>
      <c r="M128" s="3">
        <v>61</v>
      </c>
      <c r="N128" s="33">
        <v>62</v>
      </c>
      <c r="O128" s="18">
        <f t="shared" si="60"/>
        <v>592</v>
      </c>
    </row>
    <row r="129" spans="1:15" ht="15.75" thickBot="1" x14ac:dyDescent="0.3">
      <c r="A129" s="1"/>
      <c r="B129" s="8" t="s">
        <v>17</v>
      </c>
      <c r="C129" s="41">
        <f>+C124*C126</f>
        <v>248</v>
      </c>
      <c r="D129" s="41">
        <f t="shared" ref="D129:N129" si="61">+D124*D126</f>
        <v>224</v>
      </c>
      <c r="E129" s="41">
        <f t="shared" si="61"/>
        <v>248</v>
      </c>
      <c r="F129" s="41">
        <f t="shared" si="61"/>
        <v>240</v>
      </c>
      <c r="G129" s="41">
        <f t="shared" si="61"/>
        <v>248</v>
      </c>
      <c r="H129" s="41">
        <f t="shared" si="61"/>
        <v>240</v>
      </c>
      <c r="I129" s="41">
        <f t="shared" si="61"/>
        <v>248</v>
      </c>
      <c r="J129" s="41">
        <f t="shared" si="61"/>
        <v>248</v>
      </c>
      <c r="K129" s="41">
        <f t="shared" si="61"/>
        <v>240</v>
      </c>
      <c r="L129" s="41">
        <f t="shared" si="61"/>
        <v>248</v>
      </c>
      <c r="M129" s="41">
        <f t="shared" si="61"/>
        <v>240</v>
      </c>
      <c r="N129" s="41">
        <f t="shared" si="61"/>
        <v>248</v>
      </c>
      <c r="O129" s="18">
        <f t="shared" si="60"/>
        <v>2920</v>
      </c>
    </row>
    <row r="130" spans="1:15" ht="15.75" thickBot="1" x14ac:dyDescent="0.3">
      <c r="A130" s="1"/>
      <c r="B130" s="8" t="s">
        <v>18</v>
      </c>
      <c r="C130" s="32">
        <v>106</v>
      </c>
      <c r="D130" s="21">
        <v>137</v>
      </c>
      <c r="E130" s="21">
        <v>182</v>
      </c>
      <c r="F130" s="3">
        <v>149</v>
      </c>
      <c r="G130" s="3">
        <v>198</v>
      </c>
      <c r="H130" s="3">
        <v>192</v>
      </c>
      <c r="I130" s="3">
        <v>79</v>
      </c>
      <c r="J130" s="3">
        <v>143</v>
      </c>
      <c r="K130" s="3">
        <v>142</v>
      </c>
      <c r="L130" s="3">
        <v>208</v>
      </c>
      <c r="M130" s="3">
        <v>211</v>
      </c>
      <c r="N130" s="33">
        <v>202</v>
      </c>
      <c r="O130" s="18">
        <f t="shared" si="60"/>
        <v>1949</v>
      </c>
    </row>
    <row r="131" spans="1:15" ht="15.75" thickBot="1" x14ac:dyDescent="0.3">
      <c r="A131" s="1"/>
      <c r="B131" s="8" t="s">
        <v>19</v>
      </c>
      <c r="C131" s="32">
        <v>115</v>
      </c>
      <c r="D131" s="21">
        <v>142</v>
      </c>
      <c r="E131" s="21">
        <v>193</v>
      </c>
      <c r="F131" s="3">
        <v>170</v>
      </c>
      <c r="G131" s="3">
        <v>203</v>
      </c>
      <c r="H131" s="3">
        <v>241</v>
      </c>
      <c r="I131" s="3">
        <v>95</v>
      </c>
      <c r="J131" s="3">
        <v>152</v>
      </c>
      <c r="K131" s="3">
        <v>151</v>
      </c>
      <c r="L131" s="3">
        <v>217</v>
      </c>
      <c r="M131" s="3">
        <v>231</v>
      </c>
      <c r="N131" s="33">
        <v>208</v>
      </c>
      <c r="O131" s="18">
        <f t="shared" si="60"/>
        <v>2118</v>
      </c>
    </row>
    <row r="132" spans="1:15" ht="15.75" thickBot="1" x14ac:dyDescent="0.3">
      <c r="A132" s="1"/>
      <c r="B132" s="9" t="s">
        <v>51</v>
      </c>
      <c r="C132" s="75">
        <v>51</v>
      </c>
      <c r="D132" s="76">
        <v>100</v>
      </c>
      <c r="E132" s="76">
        <v>169</v>
      </c>
      <c r="F132" s="77">
        <v>95</v>
      </c>
      <c r="G132" s="76">
        <v>150</v>
      </c>
      <c r="H132" s="76">
        <v>71</v>
      </c>
      <c r="I132" s="76">
        <v>24</v>
      </c>
      <c r="J132" s="76">
        <v>5</v>
      </c>
      <c r="K132" s="76">
        <v>95</v>
      </c>
      <c r="L132" s="76">
        <v>150</v>
      </c>
      <c r="M132" s="76">
        <v>95</v>
      </c>
      <c r="N132" s="78">
        <v>127</v>
      </c>
      <c r="O132" s="18">
        <f t="shared" si="60"/>
        <v>1132</v>
      </c>
    </row>
    <row r="133" spans="1:15" ht="15.75" thickBot="1" x14ac:dyDescent="0.3">
      <c r="A133" s="1"/>
      <c r="B133" s="38" t="s">
        <v>21</v>
      </c>
      <c r="C133" s="70">
        <f t="shared" ref="C133:O133" si="62">+IF(C128&gt;0,C130/C128,"")</f>
        <v>3.2121212121212119</v>
      </c>
      <c r="D133" s="71">
        <f t="shared" si="62"/>
        <v>3.1136363636363638</v>
      </c>
      <c r="E133" s="71">
        <f t="shared" si="62"/>
        <v>3.7916666666666665</v>
      </c>
      <c r="F133" s="71">
        <f t="shared" si="62"/>
        <v>3.3863636363636362</v>
      </c>
      <c r="G133" s="71">
        <f t="shared" si="62"/>
        <v>3.3559322033898304</v>
      </c>
      <c r="H133" s="71">
        <f t="shared" si="62"/>
        <v>3.3684210526315788</v>
      </c>
      <c r="I133" s="71">
        <f t="shared" si="62"/>
        <v>2.925925925925926</v>
      </c>
      <c r="J133" s="71">
        <f t="shared" si="62"/>
        <v>2.86</v>
      </c>
      <c r="K133" s="71">
        <f t="shared" si="62"/>
        <v>3.1555555555555554</v>
      </c>
      <c r="L133" s="71">
        <f t="shared" si="62"/>
        <v>3.3548387096774195</v>
      </c>
      <c r="M133" s="71">
        <f t="shared" si="62"/>
        <v>3.459016393442623</v>
      </c>
      <c r="N133" s="73">
        <f t="shared" si="62"/>
        <v>3.2580645161290325</v>
      </c>
      <c r="O133" s="47">
        <f t="shared" si="62"/>
        <v>3.2922297297297298</v>
      </c>
    </row>
    <row r="134" spans="1:15" ht="15.75" thickBot="1" x14ac:dyDescent="0.3">
      <c r="A134" s="1"/>
      <c r="B134" s="38" t="s">
        <v>23</v>
      </c>
      <c r="C134" s="42">
        <f t="shared" ref="C134:N134" si="63">+IF(C128&gt;0,C128/C126,"")</f>
        <v>4.125</v>
      </c>
      <c r="D134" s="42">
        <f t="shared" si="63"/>
        <v>5.5</v>
      </c>
      <c r="E134" s="42">
        <f t="shared" si="63"/>
        <v>6</v>
      </c>
      <c r="F134" s="42">
        <f t="shared" si="63"/>
        <v>5.5</v>
      </c>
      <c r="G134" s="42">
        <f t="shared" si="63"/>
        <v>7.375</v>
      </c>
      <c r="H134" s="42">
        <f t="shared" si="63"/>
        <v>7.125</v>
      </c>
      <c r="I134" s="42">
        <f t="shared" si="63"/>
        <v>3.375</v>
      </c>
      <c r="J134" s="42">
        <f t="shared" si="63"/>
        <v>6.25</v>
      </c>
      <c r="K134" s="42">
        <f t="shared" si="63"/>
        <v>5.625</v>
      </c>
      <c r="L134" s="42">
        <f t="shared" si="63"/>
        <v>7.75</v>
      </c>
      <c r="M134" s="42">
        <f t="shared" si="63"/>
        <v>7.625</v>
      </c>
      <c r="N134" s="46">
        <f t="shared" si="63"/>
        <v>7.75</v>
      </c>
      <c r="O134" s="87">
        <f>+IF(O128&gt;0,AVERAGE(C128:N128)/O126,"")</f>
        <v>6.166666666666667</v>
      </c>
    </row>
    <row r="135" spans="1:15" ht="15.75" thickBot="1" x14ac:dyDescent="0.3">
      <c r="A135" s="1"/>
      <c r="B135" s="38" t="s">
        <v>24</v>
      </c>
      <c r="C135" s="42">
        <f t="shared" ref="C135:O135" si="64">+IF(C128&gt;0,(C129-C132)/C128,"")</f>
        <v>5.9696969696969697</v>
      </c>
      <c r="D135" s="42">
        <f t="shared" si="64"/>
        <v>2.8181818181818183</v>
      </c>
      <c r="E135" s="42">
        <f t="shared" si="64"/>
        <v>1.6458333333333333</v>
      </c>
      <c r="F135" s="42">
        <f t="shared" si="64"/>
        <v>3.2954545454545454</v>
      </c>
      <c r="G135" s="42">
        <f t="shared" si="64"/>
        <v>1.6610169491525424</v>
      </c>
      <c r="H135" s="42">
        <f t="shared" si="64"/>
        <v>2.9649122807017543</v>
      </c>
      <c r="I135" s="42">
        <f t="shared" si="64"/>
        <v>8.2962962962962958</v>
      </c>
      <c r="J135" s="42">
        <f t="shared" si="64"/>
        <v>4.8600000000000003</v>
      </c>
      <c r="K135" s="42">
        <f t="shared" si="64"/>
        <v>3.2222222222222223</v>
      </c>
      <c r="L135" s="42">
        <f t="shared" si="64"/>
        <v>1.5806451612903225</v>
      </c>
      <c r="M135" s="42">
        <f t="shared" si="64"/>
        <v>2.377049180327869</v>
      </c>
      <c r="N135" s="42">
        <f t="shared" si="64"/>
        <v>1.9516129032258065</v>
      </c>
      <c r="O135" s="47">
        <f t="shared" si="64"/>
        <v>3.0202702702702702</v>
      </c>
    </row>
    <row r="136" spans="1:15" ht="15.75" thickBot="1" x14ac:dyDescent="0.3">
      <c r="A136" s="1"/>
      <c r="B136" s="38" t="s">
        <v>25</v>
      </c>
      <c r="C136" s="42">
        <f t="shared" ref="C136:O136" si="65">+IF(C132&gt;0,(C132/C129)*100,"")</f>
        <v>20.56451612903226</v>
      </c>
      <c r="D136" s="42">
        <f t="shared" si="65"/>
        <v>44.642857142857146</v>
      </c>
      <c r="E136" s="42">
        <f t="shared" si="65"/>
        <v>68.145161290322577</v>
      </c>
      <c r="F136" s="42">
        <f t="shared" si="65"/>
        <v>39.583333333333329</v>
      </c>
      <c r="G136" s="42">
        <f t="shared" si="65"/>
        <v>60.483870967741936</v>
      </c>
      <c r="H136" s="42">
        <f t="shared" si="65"/>
        <v>29.583333333333332</v>
      </c>
      <c r="I136" s="42">
        <f t="shared" si="65"/>
        <v>9.67741935483871</v>
      </c>
      <c r="J136" s="42">
        <f t="shared" si="65"/>
        <v>2.0161290322580645</v>
      </c>
      <c r="K136" s="42">
        <f t="shared" si="65"/>
        <v>39.583333333333329</v>
      </c>
      <c r="L136" s="42">
        <f t="shared" si="65"/>
        <v>60.483870967741936</v>
      </c>
      <c r="M136" s="42">
        <f t="shared" si="65"/>
        <v>39.583333333333329</v>
      </c>
      <c r="N136" s="46">
        <f t="shared" si="65"/>
        <v>51.20967741935484</v>
      </c>
      <c r="O136" s="47">
        <f t="shared" si="65"/>
        <v>38.767123287671232</v>
      </c>
    </row>
    <row r="137" spans="1:15" ht="15.75" thickBot="1" x14ac:dyDescent="0.3">
      <c r="A137" s="1"/>
      <c r="B137" s="8" t="s">
        <v>26</v>
      </c>
      <c r="C137" s="41">
        <f>+SUM(C138:C139)</f>
        <v>0</v>
      </c>
      <c r="D137" s="41">
        <f t="shared" ref="D137:N137" si="66">+SUM(D138:D139)</f>
        <v>0</v>
      </c>
      <c r="E137" s="41">
        <f t="shared" si="66"/>
        <v>0</v>
      </c>
      <c r="F137" s="41">
        <f t="shared" si="66"/>
        <v>0</v>
      </c>
      <c r="G137" s="41">
        <f t="shared" si="66"/>
        <v>0</v>
      </c>
      <c r="H137" s="41">
        <f t="shared" si="66"/>
        <v>0</v>
      </c>
      <c r="I137" s="41">
        <f t="shared" si="66"/>
        <v>0</v>
      </c>
      <c r="J137" s="41">
        <f t="shared" si="66"/>
        <v>0</v>
      </c>
      <c r="K137" s="41">
        <f t="shared" si="66"/>
        <v>0</v>
      </c>
      <c r="L137" s="41">
        <f t="shared" si="66"/>
        <v>0</v>
      </c>
      <c r="M137" s="41">
        <f t="shared" si="66"/>
        <v>0</v>
      </c>
      <c r="N137" s="41">
        <f t="shared" si="66"/>
        <v>0</v>
      </c>
      <c r="O137" s="18">
        <f>+SUM(C137:N137)</f>
        <v>0</v>
      </c>
    </row>
    <row r="138" spans="1:15" ht="15.75" thickBot="1" x14ac:dyDescent="0.3">
      <c r="A138" s="1"/>
      <c r="B138" s="8" t="s">
        <v>52</v>
      </c>
      <c r="C138" s="32">
        <v>0</v>
      </c>
      <c r="D138" s="21">
        <v>0</v>
      </c>
      <c r="E138" s="21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3">
        <v>0</v>
      </c>
      <c r="O138" s="18">
        <f>+SUM(C138:N138)</f>
        <v>0</v>
      </c>
    </row>
    <row r="139" spans="1:15" ht="15.75" thickBot="1" x14ac:dyDescent="0.3">
      <c r="A139" s="1"/>
      <c r="B139" s="8" t="s">
        <v>53</v>
      </c>
      <c r="C139" s="32">
        <v>0</v>
      </c>
      <c r="D139" s="21">
        <v>0</v>
      </c>
      <c r="E139" s="21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3">
        <v>0</v>
      </c>
      <c r="O139" s="18">
        <f>+SUM(C139:N139)</f>
        <v>0</v>
      </c>
    </row>
    <row r="140" spans="1:15" ht="15.75" thickBot="1" x14ac:dyDescent="0.3">
      <c r="A140" s="1"/>
      <c r="B140" s="15" t="s">
        <v>31</v>
      </c>
      <c r="C140" s="25">
        <v>2</v>
      </c>
      <c r="D140" s="25">
        <v>0</v>
      </c>
      <c r="E140" s="25">
        <v>2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5">
        <v>0</v>
      </c>
      <c r="O140" s="28">
        <f>+SUM(C140:N140)</f>
        <v>4</v>
      </c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6.5" thickBot="1" x14ac:dyDescent="0.3">
      <c r="A143" s="1"/>
      <c r="B143" s="1"/>
      <c r="C143" s="199" t="s">
        <v>49</v>
      </c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199">
        <f>+[3]INICIO!I4</f>
        <v>2017</v>
      </c>
      <c r="O143" s="201"/>
    </row>
    <row r="144" spans="1:15" ht="15.75" thickBot="1" x14ac:dyDescent="0.3">
      <c r="A144" s="1"/>
      <c r="B144" s="7"/>
      <c r="C144" s="39">
        <v>31</v>
      </c>
      <c r="D144" s="39">
        <v>28</v>
      </c>
      <c r="E144" s="39">
        <v>31</v>
      </c>
      <c r="F144" s="39">
        <v>30</v>
      </c>
      <c r="G144" s="39">
        <v>31</v>
      </c>
      <c r="H144" s="39">
        <v>30</v>
      </c>
      <c r="I144" s="39">
        <v>31</v>
      </c>
      <c r="J144" s="39">
        <v>31</v>
      </c>
      <c r="K144" s="39">
        <v>30</v>
      </c>
      <c r="L144" s="39">
        <v>31</v>
      </c>
      <c r="M144" s="39">
        <v>30</v>
      </c>
      <c r="N144" s="39">
        <v>31</v>
      </c>
      <c r="O144" s="40">
        <v>31</v>
      </c>
    </row>
    <row r="145" spans="1:15" ht="15.75" thickBot="1" x14ac:dyDescent="0.3">
      <c r="A145" s="1"/>
      <c r="B145" s="10" t="s">
        <v>58</v>
      </c>
      <c r="C145" s="11" t="s">
        <v>1</v>
      </c>
      <c r="D145" s="12" t="s">
        <v>2</v>
      </c>
      <c r="E145" s="12" t="s">
        <v>3</v>
      </c>
      <c r="F145" s="12" t="s">
        <v>4</v>
      </c>
      <c r="G145" s="12" t="s">
        <v>5</v>
      </c>
      <c r="H145" s="12" t="s">
        <v>6</v>
      </c>
      <c r="I145" s="12" t="s">
        <v>7</v>
      </c>
      <c r="J145" s="12" t="s">
        <v>8</v>
      </c>
      <c r="K145" s="13" t="s">
        <v>9</v>
      </c>
      <c r="L145" s="13" t="s">
        <v>10</v>
      </c>
      <c r="M145" s="13" t="s">
        <v>11</v>
      </c>
      <c r="N145" s="13" t="s">
        <v>12</v>
      </c>
      <c r="O145" s="37" t="s">
        <v>13</v>
      </c>
    </row>
    <row r="146" spans="1:15" ht="15.75" thickBot="1" x14ac:dyDescent="0.3">
      <c r="A146" s="1"/>
      <c r="B146" s="8" t="s">
        <v>14</v>
      </c>
      <c r="C146" s="44">
        <v>31</v>
      </c>
      <c r="D146" s="44">
        <v>31</v>
      </c>
      <c r="E146" s="44">
        <v>31</v>
      </c>
      <c r="F146" s="44">
        <v>31</v>
      </c>
      <c r="G146" s="44">
        <v>31</v>
      </c>
      <c r="H146" s="44">
        <v>31</v>
      </c>
      <c r="I146" s="44">
        <v>31</v>
      </c>
      <c r="J146" s="44">
        <v>31</v>
      </c>
      <c r="K146" s="44">
        <v>31</v>
      </c>
      <c r="L146" s="44">
        <v>30</v>
      </c>
      <c r="M146" s="44">
        <v>30</v>
      </c>
      <c r="N146" s="48">
        <v>30</v>
      </c>
      <c r="O146" s="36">
        <f>+AVERAGE(C146:N146)</f>
        <v>30.75</v>
      </c>
    </row>
    <row r="147" spans="1:15" ht="15.75" thickBot="1" x14ac:dyDescent="0.3">
      <c r="A147" s="1"/>
      <c r="B147" s="8" t="s">
        <v>15</v>
      </c>
      <c r="C147" s="29">
        <v>421</v>
      </c>
      <c r="D147" s="30">
        <v>369</v>
      </c>
      <c r="E147" s="30">
        <v>372</v>
      </c>
      <c r="F147" s="30">
        <v>364</v>
      </c>
      <c r="G147" s="30">
        <v>355</v>
      </c>
      <c r="H147" s="30">
        <v>322</v>
      </c>
      <c r="I147" s="30">
        <v>372</v>
      </c>
      <c r="J147" s="30">
        <v>351</v>
      </c>
      <c r="K147" s="30">
        <v>377</v>
      </c>
      <c r="L147" s="30">
        <v>340</v>
      </c>
      <c r="M147" s="30">
        <v>300</v>
      </c>
      <c r="N147" s="31">
        <v>307</v>
      </c>
      <c r="O147" s="18">
        <f t="shared" ref="O147:O152" si="67">+SUM(C147:N147)</f>
        <v>4250</v>
      </c>
    </row>
    <row r="148" spans="1:15" ht="15.75" thickBot="1" x14ac:dyDescent="0.3">
      <c r="A148" s="1"/>
      <c r="B148" s="8" t="s">
        <v>16</v>
      </c>
      <c r="C148" s="29">
        <v>411</v>
      </c>
      <c r="D148" s="30">
        <v>362</v>
      </c>
      <c r="E148" s="30">
        <v>388</v>
      </c>
      <c r="F148" s="30">
        <v>372</v>
      </c>
      <c r="G148" s="30">
        <v>345</v>
      </c>
      <c r="H148" s="30">
        <v>317</v>
      </c>
      <c r="I148" s="30">
        <v>362</v>
      </c>
      <c r="J148" s="30">
        <v>345</v>
      </c>
      <c r="K148" s="30">
        <v>380</v>
      </c>
      <c r="L148" s="30">
        <v>337</v>
      </c>
      <c r="M148" s="30">
        <v>307</v>
      </c>
      <c r="N148" s="31">
        <v>304</v>
      </c>
      <c r="O148" s="18">
        <f t="shared" si="67"/>
        <v>4230</v>
      </c>
    </row>
    <row r="149" spans="1:15" ht="15.75" thickBot="1" x14ac:dyDescent="0.3">
      <c r="A149" s="1"/>
      <c r="B149" s="8" t="s">
        <v>17</v>
      </c>
      <c r="C149" s="44">
        <f>+C144*C146</f>
        <v>961</v>
      </c>
      <c r="D149" s="44">
        <f t="shared" ref="D149:N149" si="68">+D144*D146</f>
        <v>868</v>
      </c>
      <c r="E149" s="44">
        <f t="shared" si="68"/>
        <v>961</v>
      </c>
      <c r="F149" s="44">
        <f t="shared" si="68"/>
        <v>930</v>
      </c>
      <c r="G149" s="44">
        <f t="shared" si="68"/>
        <v>961</v>
      </c>
      <c r="H149" s="44">
        <f t="shared" si="68"/>
        <v>930</v>
      </c>
      <c r="I149" s="44">
        <f t="shared" si="68"/>
        <v>961</v>
      </c>
      <c r="J149" s="44">
        <f t="shared" si="68"/>
        <v>961</v>
      </c>
      <c r="K149" s="44">
        <f t="shared" si="68"/>
        <v>930</v>
      </c>
      <c r="L149" s="44">
        <f t="shared" si="68"/>
        <v>930</v>
      </c>
      <c r="M149" s="44">
        <f t="shared" si="68"/>
        <v>900</v>
      </c>
      <c r="N149" s="44">
        <f t="shared" si="68"/>
        <v>930</v>
      </c>
      <c r="O149" s="18">
        <f t="shared" si="67"/>
        <v>11223</v>
      </c>
    </row>
    <row r="150" spans="1:15" ht="15.75" thickBot="1" x14ac:dyDescent="0.3">
      <c r="A150" s="1"/>
      <c r="B150" s="8" t="s">
        <v>18</v>
      </c>
      <c r="C150" s="29">
        <v>837</v>
      </c>
      <c r="D150" s="30">
        <v>669</v>
      </c>
      <c r="E150" s="30">
        <v>738</v>
      </c>
      <c r="F150" s="30">
        <v>664</v>
      </c>
      <c r="G150" s="30">
        <v>655</v>
      </c>
      <c r="H150" s="30">
        <v>545</v>
      </c>
      <c r="I150" s="30">
        <v>669</v>
      </c>
      <c r="J150" s="30">
        <v>692</v>
      </c>
      <c r="K150" s="30">
        <v>697</v>
      </c>
      <c r="L150" s="30">
        <v>693</v>
      </c>
      <c r="M150" s="30">
        <v>557</v>
      </c>
      <c r="N150" s="31">
        <v>589</v>
      </c>
      <c r="O150" s="18">
        <f t="shared" si="67"/>
        <v>8005</v>
      </c>
    </row>
    <row r="151" spans="1:15" ht="15.75" thickBot="1" x14ac:dyDescent="0.3">
      <c r="A151" s="1"/>
      <c r="B151" s="8" t="s">
        <v>19</v>
      </c>
      <c r="C151" s="29">
        <v>851</v>
      </c>
      <c r="D151" s="30">
        <v>687</v>
      </c>
      <c r="E151" s="30">
        <v>782</v>
      </c>
      <c r="F151" s="30">
        <v>680</v>
      </c>
      <c r="G151" s="30">
        <v>659</v>
      </c>
      <c r="H151" s="30">
        <v>563</v>
      </c>
      <c r="I151" s="30">
        <v>681</v>
      </c>
      <c r="J151" s="30">
        <v>725</v>
      </c>
      <c r="K151" s="30">
        <v>727</v>
      </c>
      <c r="L151" s="30">
        <v>699</v>
      </c>
      <c r="M151" s="30">
        <v>569</v>
      </c>
      <c r="N151" s="31">
        <v>601</v>
      </c>
      <c r="O151" s="18">
        <f t="shared" si="67"/>
        <v>8224</v>
      </c>
    </row>
    <row r="152" spans="1:15" ht="15.75" thickBot="1" x14ac:dyDescent="0.3">
      <c r="A152" s="1"/>
      <c r="B152" s="8" t="s">
        <v>59</v>
      </c>
      <c r="C152" s="80">
        <v>987</v>
      </c>
      <c r="D152" s="81">
        <v>888</v>
      </c>
      <c r="E152" s="81">
        <v>944</v>
      </c>
      <c r="F152" s="81">
        <v>904</v>
      </c>
      <c r="G152" s="81">
        <v>991</v>
      </c>
      <c r="H152" s="81">
        <v>1070</v>
      </c>
      <c r="I152" s="81">
        <v>1293</v>
      </c>
      <c r="J152" s="81">
        <v>1442</v>
      </c>
      <c r="K152" s="81">
        <v>820</v>
      </c>
      <c r="L152" s="81">
        <v>714</v>
      </c>
      <c r="M152" s="81">
        <v>545</v>
      </c>
      <c r="N152" s="82">
        <v>613</v>
      </c>
      <c r="O152" s="18">
        <f t="shared" si="67"/>
        <v>11211</v>
      </c>
    </row>
    <row r="153" spans="1:15" ht="15.75" thickBot="1" x14ac:dyDescent="0.3">
      <c r="A153" s="1"/>
      <c r="B153" s="38" t="s">
        <v>21</v>
      </c>
      <c r="C153" s="70">
        <f t="shared" ref="C153:O153" si="69">+IF(C148&gt;0,C150/C148,"")</f>
        <v>2.0364963503649633</v>
      </c>
      <c r="D153" s="71">
        <f t="shared" si="69"/>
        <v>1.8480662983425415</v>
      </c>
      <c r="E153" s="71">
        <f t="shared" si="69"/>
        <v>1.902061855670103</v>
      </c>
      <c r="F153" s="71">
        <f t="shared" si="69"/>
        <v>1.7849462365591398</v>
      </c>
      <c r="G153" s="71">
        <f t="shared" si="69"/>
        <v>1.8985507246376812</v>
      </c>
      <c r="H153" s="71">
        <f t="shared" si="69"/>
        <v>1.7192429022082019</v>
      </c>
      <c r="I153" s="71">
        <f t="shared" si="69"/>
        <v>1.8480662983425415</v>
      </c>
      <c r="J153" s="71">
        <f t="shared" si="69"/>
        <v>2.0057971014492755</v>
      </c>
      <c r="K153" s="71">
        <f t="shared" si="69"/>
        <v>1.8342105263157895</v>
      </c>
      <c r="L153" s="71">
        <f t="shared" si="69"/>
        <v>2.056379821958457</v>
      </c>
      <c r="M153" s="71">
        <f t="shared" si="69"/>
        <v>1.8143322475570032</v>
      </c>
      <c r="N153" s="73">
        <f t="shared" si="69"/>
        <v>1.9375</v>
      </c>
      <c r="O153" s="47">
        <f t="shared" si="69"/>
        <v>1.8924349881796689</v>
      </c>
    </row>
    <row r="154" spans="1:15" ht="15.75" thickBot="1" x14ac:dyDescent="0.3">
      <c r="A154" s="1"/>
      <c r="B154" s="38" t="s">
        <v>23</v>
      </c>
      <c r="C154" s="42">
        <f t="shared" ref="C154:N154" si="70">+IF(C148&gt;0,C148/C146,"")</f>
        <v>13.258064516129032</v>
      </c>
      <c r="D154" s="42">
        <f t="shared" si="70"/>
        <v>11.67741935483871</v>
      </c>
      <c r="E154" s="42">
        <f t="shared" si="70"/>
        <v>12.516129032258064</v>
      </c>
      <c r="F154" s="42">
        <f t="shared" si="70"/>
        <v>12</v>
      </c>
      <c r="G154" s="42">
        <f t="shared" si="70"/>
        <v>11.129032258064516</v>
      </c>
      <c r="H154" s="42">
        <f t="shared" si="70"/>
        <v>10.225806451612904</v>
      </c>
      <c r="I154" s="42">
        <f t="shared" si="70"/>
        <v>11.67741935483871</v>
      </c>
      <c r="J154" s="42">
        <f t="shared" si="70"/>
        <v>11.129032258064516</v>
      </c>
      <c r="K154" s="42">
        <f t="shared" si="70"/>
        <v>12.258064516129032</v>
      </c>
      <c r="L154" s="42">
        <f t="shared" si="70"/>
        <v>11.233333333333333</v>
      </c>
      <c r="M154" s="42">
        <f t="shared" si="70"/>
        <v>10.233333333333333</v>
      </c>
      <c r="N154" s="46">
        <f t="shared" si="70"/>
        <v>10.133333333333333</v>
      </c>
      <c r="O154" s="87">
        <f>+IF(O148&gt;0,AVERAGE(C148:N148)/O146,"")</f>
        <v>11.463414634146341</v>
      </c>
    </row>
    <row r="155" spans="1:15" ht="15.75" thickBot="1" x14ac:dyDescent="0.3">
      <c r="A155" s="1"/>
      <c r="B155" s="38" t="s">
        <v>24</v>
      </c>
      <c r="C155" s="42">
        <f t="shared" ref="C155:O155" si="71">+IF(C148&gt;0,(C149-C152)/C148,"")</f>
        <v>-6.3260340632603412E-2</v>
      </c>
      <c r="D155" s="42">
        <f t="shared" si="71"/>
        <v>-5.5248618784530384E-2</v>
      </c>
      <c r="E155" s="42">
        <f t="shared" si="71"/>
        <v>4.3814432989690719E-2</v>
      </c>
      <c r="F155" s="42">
        <f t="shared" si="71"/>
        <v>6.9892473118279563E-2</v>
      </c>
      <c r="G155" s="42">
        <f t="shared" si="71"/>
        <v>-8.6956521739130432E-2</v>
      </c>
      <c r="H155" s="42">
        <f t="shared" si="71"/>
        <v>-0.44164037854889587</v>
      </c>
      <c r="I155" s="42">
        <f t="shared" si="71"/>
        <v>-0.91712707182320441</v>
      </c>
      <c r="J155" s="42">
        <f t="shared" si="71"/>
        <v>-1.3942028985507247</v>
      </c>
      <c r="K155" s="42">
        <f t="shared" si="71"/>
        <v>0.28947368421052633</v>
      </c>
      <c r="L155" s="42">
        <f t="shared" si="71"/>
        <v>0.64094955489614247</v>
      </c>
      <c r="M155" s="42">
        <f t="shared" si="71"/>
        <v>1.1563517915309447</v>
      </c>
      <c r="N155" s="42">
        <f t="shared" si="71"/>
        <v>1.0427631578947369</v>
      </c>
      <c r="O155" s="99">
        <f t="shared" si="71"/>
        <v>2.8368794326241137E-3</v>
      </c>
    </row>
    <row r="156" spans="1:15" ht="15.75" thickBot="1" x14ac:dyDescent="0.3">
      <c r="A156" s="1"/>
      <c r="B156" s="38" t="s">
        <v>25</v>
      </c>
      <c r="C156" s="42">
        <f t="shared" ref="C156:O156" si="72">+IF(C152&gt;0,(C152/C149)*100,"")</f>
        <v>102.70551508844954</v>
      </c>
      <c r="D156" s="42">
        <f t="shared" si="72"/>
        <v>102.30414746543779</v>
      </c>
      <c r="E156" s="42">
        <f t="shared" si="72"/>
        <v>98.231009365244532</v>
      </c>
      <c r="F156" s="42">
        <f t="shared" si="72"/>
        <v>97.204301075268816</v>
      </c>
      <c r="G156" s="42">
        <f t="shared" si="72"/>
        <v>103.12174817898023</v>
      </c>
      <c r="H156" s="42">
        <f t="shared" si="72"/>
        <v>115.05376344086022</v>
      </c>
      <c r="I156" s="42">
        <f t="shared" si="72"/>
        <v>134.54734651404786</v>
      </c>
      <c r="J156" s="42">
        <f t="shared" si="72"/>
        <v>150.05202913631635</v>
      </c>
      <c r="K156" s="42">
        <f t="shared" si="72"/>
        <v>88.172043010752688</v>
      </c>
      <c r="L156" s="42">
        <f t="shared" si="72"/>
        <v>76.774193548387089</v>
      </c>
      <c r="M156" s="42">
        <f t="shared" si="72"/>
        <v>60.55555555555555</v>
      </c>
      <c r="N156" s="46">
        <f t="shared" si="72"/>
        <v>65.913978494623663</v>
      </c>
      <c r="O156" s="47">
        <f t="shared" si="72"/>
        <v>99.893076717455216</v>
      </c>
    </row>
    <row r="157" spans="1:15" ht="15.75" thickBot="1" x14ac:dyDescent="0.3">
      <c r="A157" s="1"/>
      <c r="B157" s="8" t="s">
        <v>26</v>
      </c>
      <c r="C157" s="98">
        <f>+SUM(C158:C159)</f>
        <v>0</v>
      </c>
      <c r="D157" s="44">
        <f t="shared" ref="D157:N157" si="73">+SUM(D158:D159)</f>
        <v>0</v>
      </c>
      <c r="E157" s="44">
        <f t="shared" si="73"/>
        <v>0</v>
      </c>
      <c r="F157" s="44">
        <f t="shared" si="73"/>
        <v>0</v>
      </c>
      <c r="G157" s="44">
        <f t="shared" si="73"/>
        <v>0</v>
      </c>
      <c r="H157" s="44">
        <f t="shared" si="73"/>
        <v>0</v>
      </c>
      <c r="I157" s="44">
        <f t="shared" si="73"/>
        <v>0</v>
      </c>
      <c r="J157" s="44">
        <f t="shared" si="73"/>
        <v>0</v>
      </c>
      <c r="K157" s="44">
        <f t="shared" si="73"/>
        <v>0</v>
      </c>
      <c r="L157" s="44">
        <f t="shared" si="73"/>
        <v>0</v>
      </c>
      <c r="M157" s="44">
        <f t="shared" si="73"/>
        <v>0</v>
      </c>
      <c r="N157" s="48">
        <f t="shared" si="73"/>
        <v>0</v>
      </c>
      <c r="O157" s="16">
        <f t="shared" ref="O157:O173" si="74">+SUM(C157:N157)</f>
        <v>0</v>
      </c>
    </row>
    <row r="158" spans="1:15" ht="15.75" thickBot="1" x14ac:dyDescent="0.3">
      <c r="A158" s="1"/>
      <c r="B158" s="8" t="s">
        <v>27</v>
      </c>
      <c r="C158" s="49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6">
        <v>0</v>
      </c>
      <c r="O158" s="16">
        <f t="shared" si="74"/>
        <v>0</v>
      </c>
    </row>
    <row r="159" spans="1:15" ht="15.75" thickBot="1" x14ac:dyDescent="0.3">
      <c r="A159" s="1"/>
      <c r="B159" s="8" t="s">
        <v>28</v>
      </c>
      <c r="C159" s="49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6">
        <v>0</v>
      </c>
      <c r="O159" s="16">
        <f t="shared" si="74"/>
        <v>0</v>
      </c>
    </row>
    <row r="160" spans="1:15" ht="15.75" thickBot="1" x14ac:dyDescent="0.3">
      <c r="A160" s="1"/>
      <c r="B160" s="8" t="s">
        <v>31</v>
      </c>
      <c r="C160" s="49">
        <v>0</v>
      </c>
      <c r="D160" s="50">
        <v>2</v>
      </c>
      <c r="E160" s="50">
        <v>0</v>
      </c>
      <c r="F160" s="50">
        <v>4</v>
      </c>
      <c r="G160" s="50">
        <v>0</v>
      </c>
      <c r="H160" s="50">
        <v>2</v>
      </c>
      <c r="I160" s="50">
        <v>3</v>
      </c>
      <c r="J160" s="50">
        <v>6</v>
      </c>
      <c r="K160" s="50">
        <v>2</v>
      </c>
      <c r="L160" s="50">
        <v>0</v>
      </c>
      <c r="M160" s="50">
        <v>0</v>
      </c>
      <c r="N160" s="56">
        <v>0</v>
      </c>
      <c r="O160" s="16">
        <f t="shared" si="74"/>
        <v>19</v>
      </c>
    </row>
    <row r="161" spans="1:15" ht="15.75" thickBot="1" x14ac:dyDescent="0.3">
      <c r="A161" s="1"/>
      <c r="B161" s="8" t="s">
        <v>60</v>
      </c>
      <c r="C161" s="49">
        <v>277</v>
      </c>
      <c r="D161" s="50">
        <v>263</v>
      </c>
      <c r="E161" s="50">
        <v>267</v>
      </c>
      <c r="F161" s="50">
        <v>285</v>
      </c>
      <c r="G161" s="50">
        <v>286</v>
      </c>
      <c r="H161" s="50">
        <v>236</v>
      </c>
      <c r="I161" s="50">
        <v>260</v>
      </c>
      <c r="J161" s="50">
        <v>241</v>
      </c>
      <c r="K161" s="50">
        <v>266</v>
      </c>
      <c r="L161" s="50">
        <v>226</v>
      </c>
      <c r="M161" s="50">
        <v>208</v>
      </c>
      <c r="N161" s="56">
        <v>230</v>
      </c>
      <c r="O161" s="16">
        <f t="shared" si="74"/>
        <v>3045</v>
      </c>
    </row>
    <row r="162" spans="1:15" ht="15.75" thickBot="1" x14ac:dyDescent="0.3">
      <c r="A162" s="1"/>
      <c r="B162" s="8" t="s">
        <v>34</v>
      </c>
      <c r="C162" s="49">
        <v>278</v>
      </c>
      <c r="D162" s="50">
        <v>265</v>
      </c>
      <c r="E162" s="50">
        <v>268</v>
      </c>
      <c r="F162" s="50">
        <v>280</v>
      </c>
      <c r="G162" s="50">
        <v>287</v>
      </c>
      <c r="H162" s="50">
        <v>235</v>
      </c>
      <c r="I162" s="50">
        <v>265</v>
      </c>
      <c r="J162" s="50">
        <v>240</v>
      </c>
      <c r="K162" s="50">
        <v>265</v>
      </c>
      <c r="L162" s="50">
        <v>228</v>
      </c>
      <c r="M162" s="50">
        <v>208</v>
      </c>
      <c r="N162" s="56">
        <v>226</v>
      </c>
      <c r="O162" s="16">
        <f t="shared" si="74"/>
        <v>3045</v>
      </c>
    </row>
    <row r="163" spans="1:15" ht="15.75" thickBot="1" x14ac:dyDescent="0.3">
      <c r="A163" s="1"/>
      <c r="B163" s="8" t="s">
        <v>35</v>
      </c>
      <c r="C163" s="49">
        <v>62</v>
      </c>
      <c r="D163" s="50">
        <v>69</v>
      </c>
      <c r="E163" s="50">
        <v>66</v>
      </c>
      <c r="F163" s="50">
        <v>47</v>
      </c>
      <c r="G163" s="50">
        <v>41</v>
      </c>
      <c r="H163" s="50">
        <v>47</v>
      </c>
      <c r="I163" s="50">
        <v>55</v>
      </c>
      <c r="J163" s="50">
        <v>59</v>
      </c>
      <c r="K163" s="50">
        <v>73</v>
      </c>
      <c r="L163" s="50">
        <v>64</v>
      </c>
      <c r="M163" s="50">
        <v>47</v>
      </c>
      <c r="N163" s="56">
        <v>50</v>
      </c>
      <c r="O163" s="16">
        <f t="shared" si="74"/>
        <v>680</v>
      </c>
    </row>
    <row r="164" spans="1:15" ht="15.75" thickBot="1" x14ac:dyDescent="0.3">
      <c r="A164" s="1"/>
      <c r="B164" s="8" t="s">
        <v>36</v>
      </c>
      <c r="C164" s="49">
        <v>90</v>
      </c>
      <c r="D164" s="50">
        <v>100</v>
      </c>
      <c r="E164" s="50">
        <v>88</v>
      </c>
      <c r="F164" s="50">
        <v>103</v>
      </c>
      <c r="G164" s="50">
        <v>105</v>
      </c>
      <c r="H164" s="50">
        <v>86</v>
      </c>
      <c r="I164" s="50">
        <v>96</v>
      </c>
      <c r="J164" s="50">
        <v>102</v>
      </c>
      <c r="K164" s="50">
        <v>94</v>
      </c>
      <c r="L164" s="50">
        <v>89</v>
      </c>
      <c r="M164" s="50">
        <v>75</v>
      </c>
      <c r="N164" s="56">
        <v>99</v>
      </c>
      <c r="O164" s="16">
        <f t="shared" si="74"/>
        <v>1127</v>
      </c>
    </row>
    <row r="165" spans="1:15" ht="15.75" thickBot="1" x14ac:dyDescent="0.3">
      <c r="A165" s="1"/>
      <c r="B165" s="8" t="s">
        <v>37</v>
      </c>
      <c r="C165" s="49">
        <v>58</v>
      </c>
      <c r="D165" s="50">
        <v>68</v>
      </c>
      <c r="E165" s="50">
        <v>61</v>
      </c>
      <c r="F165" s="50">
        <v>42</v>
      </c>
      <c r="G165" s="50">
        <v>40</v>
      </c>
      <c r="H165" s="50">
        <v>47</v>
      </c>
      <c r="I165" s="50">
        <v>52</v>
      </c>
      <c r="J165" s="50">
        <v>58</v>
      </c>
      <c r="K165" s="50">
        <v>70</v>
      </c>
      <c r="L165" s="50">
        <v>64</v>
      </c>
      <c r="M165" s="50">
        <v>46</v>
      </c>
      <c r="N165" s="56">
        <v>48</v>
      </c>
      <c r="O165" s="16">
        <f t="shared" si="74"/>
        <v>654</v>
      </c>
    </row>
    <row r="166" spans="1:15" ht="15.75" thickBot="1" x14ac:dyDescent="0.3">
      <c r="A166" s="1"/>
      <c r="B166" s="8" t="s">
        <v>38</v>
      </c>
      <c r="C166" s="51">
        <v>4</v>
      </c>
      <c r="D166" s="23">
        <v>1</v>
      </c>
      <c r="E166" s="23">
        <v>5</v>
      </c>
      <c r="F166" s="52">
        <v>5</v>
      </c>
      <c r="G166" s="52">
        <v>1</v>
      </c>
      <c r="H166" s="52">
        <v>0</v>
      </c>
      <c r="I166" s="52">
        <v>3</v>
      </c>
      <c r="J166" s="52">
        <v>1</v>
      </c>
      <c r="K166" s="52">
        <v>3</v>
      </c>
      <c r="L166" s="52">
        <v>0</v>
      </c>
      <c r="M166" s="52">
        <v>1</v>
      </c>
      <c r="N166" s="57">
        <v>2</v>
      </c>
      <c r="O166" s="16">
        <f t="shared" si="74"/>
        <v>26</v>
      </c>
    </row>
    <row r="167" spans="1:15" ht="15.75" thickBot="1" x14ac:dyDescent="0.3">
      <c r="A167" s="1"/>
      <c r="B167" s="8" t="s">
        <v>39</v>
      </c>
      <c r="C167" s="51">
        <v>4</v>
      </c>
      <c r="D167" s="23">
        <v>8</v>
      </c>
      <c r="E167" s="23">
        <v>6</v>
      </c>
      <c r="F167" s="52">
        <v>4</v>
      </c>
      <c r="G167" s="52">
        <v>2</v>
      </c>
      <c r="H167" s="52">
        <v>3</v>
      </c>
      <c r="I167" s="52">
        <v>3</v>
      </c>
      <c r="J167" s="52">
        <v>4</v>
      </c>
      <c r="K167" s="52">
        <v>3</v>
      </c>
      <c r="L167" s="52">
        <v>1</v>
      </c>
      <c r="M167" s="52">
        <v>4</v>
      </c>
      <c r="N167" s="57">
        <v>4</v>
      </c>
      <c r="O167" s="16">
        <f t="shared" si="74"/>
        <v>46</v>
      </c>
    </row>
    <row r="168" spans="1:15" ht="15.75" thickBot="1" x14ac:dyDescent="0.3">
      <c r="A168" s="1"/>
      <c r="B168" s="8" t="s">
        <v>40</v>
      </c>
      <c r="C168" s="51">
        <v>183</v>
      </c>
      <c r="D168" s="23">
        <v>155</v>
      </c>
      <c r="E168" s="23">
        <v>173</v>
      </c>
      <c r="F168" s="52">
        <v>178</v>
      </c>
      <c r="G168" s="52">
        <v>179</v>
      </c>
      <c r="H168" s="52">
        <v>147</v>
      </c>
      <c r="I168" s="52">
        <v>161</v>
      </c>
      <c r="J168" s="52">
        <v>135</v>
      </c>
      <c r="K168" s="52">
        <v>169</v>
      </c>
      <c r="L168" s="52">
        <v>136</v>
      </c>
      <c r="M168" s="52">
        <v>129</v>
      </c>
      <c r="N168" s="57">
        <v>127</v>
      </c>
      <c r="O168" s="16">
        <f t="shared" si="74"/>
        <v>1872</v>
      </c>
    </row>
    <row r="169" spans="1:15" ht="15.75" thickBot="1" x14ac:dyDescent="0.3">
      <c r="A169" s="1"/>
      <c r="B169" s="8" t="s">
        <v>41</v>
      </c>
      <c r="C169" s="51">
        <v>0</v>
      </c>
      <c r="D169" s="23">
        <v>0</v>
      </c>
      <c r="E169" s="23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2">
        <v>0</v>
      </c>
      <c r="M169" s="52">
        <v>0</v>
      </c>
      <c r="N169" s="57">
        <v>0</v>
      </c>
      <c r="O169" s="16">
        <f t="shared" si="74"/>
        <v>0</v>
      </c>
    </row>
    <row r="170" spans="1:15" ht="15.75" thickBot="1" x14ac:dyDescent="0.3">
      <c r="A170" s="1"/>
      <c r="B170" s="8" t="s">
        <v>42</v>
      </c>
      <c r="C170" s="53">
        <v>15</v>
      </c>
      <c r="D170" s="52">
        <v>18</v>
      </c>
      <c r="E170" s="52">
        <v>9</v>
      </c>
      <c r="F170" s="52">
        <v>13</v>
      </c>
      <c r="G170" s="52">
        <v>22</v>
      </c>
      <c r="H170" s="52">
        <v>17</v>
      </c>
      <c r="I170" s="52">
        <v>23</v>
      </c>
      <c r="J170" s="52">
        <v>16</v>
      </c>
      <c r="K170" s="52">
        <v>14</v>
      </c>
      <c r="L170" s="52">
        <v>5</v>
      </c>
      <c r="M170" s="52">
        <v>0</v>
      </c>
      <c r="N170" s="57">
        <v>17</v>
      </c>
      <c r="O170" s="16">
        <f t="shared" si="74"/>
        <v>169</v>
      </c>
    </row>
    <row r="171" spans="1:15" ht="15.75" thickBot="1" x14ac:dyDescent="0.3">
      <c r="A171" s="1"/>
      <c r="B171" s="8" t="s">
        <v>61</v>
      </c>
      <c r="C171" s="53">
        <v>1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2">
        <v>0</v>
      </c>
      <c r="M171" s="52">
        <v>1</v>
      </c>
      <c r="N171" s="57">
        <v>0</v>
      </c>
      <c r="O171" s="16">
        <f t="shared" si="74"/>
        <v>2</v>
      </c>
    </row>
    <row r="172" spans="1:15" ht="15.75" thickBot="1" x14ac:dyDescent="0.3">
      <c r="A172" s="1"/>
      <c r="B172" s="9" t="s">
        <v>44</v>
      </c>
      <c r="C172" s="53">
        <v>0</v>
      </c>
      <c r="D172" s="52">
        <v>0</v>
      </c>
      <c r="E172" s="52">
        <v>3</v>
      </c>
      <c r="F172" s="52">
        <v>3</v>
      </c>
      <c r="G172" s="52">
        <v>3</v>
      </c>
      <c r="H172" s="52">
        <v>2</v>
      </c>
      <c r="I172" s="52">
        <v>0</v>
      </c>
      <c r="J172" s="52">
        <v>2</v>
      </c>
      <c r="K172" s="52">
        <v>6</v>
      </c>
      <c r="L172" s="52">
        <v>4</v>
      </c>
      <c r="M172" s="52">
        <v>5</v>
      </c>
      <c r="N172" s="57">
        <v>5</v>
      </c>
      <c r="O172" s="16">
        <f t="shared" si="74"/>
        <v>33</v>
      </c>
    </row>
    <row r="173" spans="1:15" ht="15.75" thickBot="1" x14ac:dyDescent="0.3">
      <c r="A173" s="1"/>
      <c r="B173" s="8" t="s">
        <v>45</v>
      </c>
      <c r="C173" s="54">
        <v>0</v>
      </c>
      <c r="D173" s="54">
        <v>0</v>
      </c>
      <c r="E173" s="54">
        <v>0</v>
      </c>
      <c r="F173" s="55">
        <v>0</v>
      </c>
      <c r="G173" s="55">
        <v>0</v>
      </c>
      <c r="H173" s="55">
        <v>1</v>
      </c>
      <c r="I173" s="55">
        <v>0</v>
      </c>
      <c r="J173" s="55">
        <v>1</v>
      </c>
      <c r="K173" s="55">
        <v>0</v>
      </c>
      <c r="L173" s="55">
        <v>0</v>
      </c>
      <c r="M173" s="55">
        <v>2</v>
      </c>
      <c r="N173" s="58">
        <v>1</v>
      </c>
      <c r="O173" s="17">
        <f t="shared" si="74"/>
        <v>5</v>
      </c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6.5" thickBot="1" x14ac:dyDescent="0.3">
      <c r="A176" s="1"/>
      <c r="B176" s="1"/>
      <c r="C176" s="199" t="s">
        <v>49</v>
      </c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199">
        <f>+[3]INICIO!I4</f>
        <v>2017</v>
      </c>
      <c r="O176" s="201"/>
    </row>
    <row r="177" spans="1:15" ht="15.75" thickBot="1" x14ac:dyDescent="0.3">
      <c r="A177" s="1"/>
      <c r="B177" s="7"/>
      <c r="C177" s="39">
        <v>31</v>
      </c>
      <c r="D177" s="39">
        <v>28</v>
      </c>
      <c r="E177" s="39">
        <v>31</v>
      </c>
      <c r="F177" s="39">
        <v>30</v>
      </c>
      <c r="G177" s="39">
        <v>31</v>
      </c>
      <c r="H177" s="39">
        <v>30</v>
      </c>
      <c r="I177" s="39">
        <v>31</v>
      </c>
      <c r="J177" s="39">
        <v>31</v>
      </c>
      <c r="K177" s="39">
        <v>30</v>
      </c>
      <c r="L177" s="39">
        <v>31</v>
      </c>
      <c r="M177" s="39">
        <v>30</v>
      </c>
      <c r="N177" s="39">
        <v>31</v>
      </c>
      <c r="O177" s="40">
        <v>6</v>
      </c>
    </row>
    <row r="178" spans="1:15" ht="15.75" thickBot="1" x14ac:dyDescent="0.3">
      <c r="A178" s="1"/>
      <c r="B178" s="10" t="s">
        <v>62</v>
      </c>
      <c r="C178" s="11" t="s">
        <v>1</v>
      </c>
      <c r="D178" s="12" t="s">
        <v>2</v>
      </c>
      <c r="E178" s="12" t="s">
        <v>3</v>
      </c>
      <c r="F178" s="12" t="s">
        <v>4</v>
      </c>
      <c r="G178" s="12" t="s">
        <v>5</v>
      </c>
      <c r="H178" s="12" t="s">
        <v>6</v>
      </c>
      <c r="I178" s="12" t="s">
        <v>7</v>
      </c>
      <c r="J178" s="12" t="s">
        <v>8</v>
      </c>
      <c r="K178" s="13" t="s">
        <v>9</v>
      </c>
      <c r="L178" s="13" t="s">
        <v>10</v>
      </c>
      <c r="M178" s="13" t="s">
        <v>11</v>
      </c>
      <c r="N178" s="13" t="s">
        <v>12</v>
      </c>
      <c r="O178" s="14" t="s">
        <v>13</v>
      </c>
    </row>
    <row r="179" spans="1:15" ht="15.75" thickBot="1" x14ac:dyDescent="0.3">
      <c r="A179" s="1"/>
      <c r="B179" s="8" t="s">
        <v>14</v>
      </c>
      <c r="C179" s="44">
        <v>9</v>
      </c>
      <c r="D179" s="44">
        <v>9</v>
      </c>
      <c r="E179" s="44">
        <v>9</v>
      </c>
      <c r="F179" s="44">
        <v>9</v>
      </c>
      <c r="G179" s="44">
        <v>9</v>
      </c>
      <c r="H179" s="44">
        <v>9</v>
      </c>
      <c r="I179" s="44">
        <v>9</v>
      </c>
      <c r="J179" s="44">
        <v>8</v>
      </c>
      <c r="K179" s="44">
        <v>8</v>
      </c>
      <c r="L179" s="44">
        <v>8</v>
      </c>
      <c r="M179" s="44">
        <v>8</v>
      </c>
      <c r="N179" s="44">
        <v>8</v>
      </c>
      <c r="O179" s="88">
        <f>+AVERAGE(C179:N179)</f>
        <v>8.5833333333333339</v>
      </c>
    </row>
    <row r="180" spans="1:15" ht="15.75" thickBot="1" x14ac:dyDescent="0.3">
      <c r="A180" s="1"/>
      <c r="B180" s="8" t="s">
        <v>15</v>
      </c>
      <c r="C180" s="32">
        <v>24</v>
      </c>
      <c r="D180" s="21">
        <v>24</v>
      </c>
      <c r="E180" s="21">
        <v>23</v>
      </c>
      <c r="F180" s="3">
        <v>26</v>
      </c>
      <c r="G180" s="3">
        <v>30</v>
      </c>
      <c r="H180" s="3">
        <v>24</v>
      </c>
      <c r="I180" s="3">
        <v>24</v>
      </c>
      <c r="J180" s="3">
        <v>22</v>
      </c>
      <c r="K180" s="3">
        <v>28</v>
      </c>
      <c r="L180" s="3">
        <v>29</v>
      </c>
      <c r="M180" s="3">
        <v>18</v>
      </c>
      <c r="N180" s="33">
        <v>16</v>
      </c>
      <c r="O180" s="18">
        <f t="shared" ref="O180:O185" si="75">+SUM(C180:N180)</f>
        <v>288</v>
      </c>
    </row>
    <row r="181" spans="1:15" ht="15.75" thickBot="1" x14ac:dyDescent="0.3">
      <c r="A181" s="1"/>
      <c r="B181" s="8" t="s">
        <v>16</v>
      </c>
      <c r="C181" s="32">
        <v>24</v>
      </c>
      <c r="D181" s="21">
        <v>20</v>
      </c>
      <c r="E181" s="21">
        <v>27</v>
      </c>
      <c r="F181" s="3">
        <v>23</v>
      </c>
      <c r="G181" s="3">
        <v>32</v>
      </c>
      <c r="H181" s="3">
        <v>25</v>
      </c>
      <c r="I181" s="3">
        <v>21</v>
      </c>
      <c r="J181" s="3">
        <v>28</v>
      </c>
      <c r="K181" s="3">
        <v>26</v>
      </c>
      <c r="L181" s="3">
        <v>28</v>
      </c>
      <c r="M181" s="3">
        <v>18</v>
      </c>
      <c r="N181" s="33">
        <v>14</v>
      </c>
      <c r="O181" s="18">
        <f t="shared" si="75"/>
        <v>286</v>
      </c>
    </row>
    <row r="182" spans="1:15" ht="15.75" thickBot="1" x14ac:dyDescent="0.3">
      <c r="A182" s="1"/>
      <c r="B182" s="8" t="s">
        <v>17</v>
      </c>
      <c r="C182" s="41">
        <f>+C177*C179</f>
        <v>279</v>
      </c>
      <c r="D182" s="41">
        <f t="shared" ref="D182:N182" si="76">+D177*D179</f>
        <v>252</v>
      </c>
      <c r="E182" s="41">
        <f t="shared" si="76"/>
        <v>279</v>
      </c>
      <c r="F182" s="41">
        <f t="shared" si="76"/>
        <v>270</v>
      </c>
      <c r="G182" s="41">
        <f t="shared" si="76"/>
        <v>279</v>
      </c>
      <c r="H182" s="41">
        <f t="shared" si="76"/>
        <v>270</v>
      </c>
      <c r="I182" s="41">
        <f t="shared" si="76"/>
        <v>279</v>
      </c>
      <c r="J182" s="41">
        <f t="shared" si="76"/>
        <v>248</v>
      </c>
      <c r="K182" s="41">
        <f t="shared" si="76"/>
        <v>240</v>
      </c>
      <c r="L182" s="41">
        <f t="shared" si="76"/>
        <v>248</v>
      </c>
      <c r="M182" s="41">
        <f t="shared" si="76"/>
        <v>240</v>
      </c>
      <c r="N182" s="41">
        <f t="shared" si="76"/>
        <v>248</v>
      </c>
      <c r="O182" s="18">
        <f t="shared" si="75"/>
        <v>3132</v>
      </c>
    </row>
    <row r="183" spans="1:15" ht="15.75" thickBot="1" x14ac:dyDescent="0.3">
      <c r="A183" s="1"/>
      <c r="B183" s="8" t="s">
        <v>18</v>
      </c>
      <c r="C183" s="32">
        <v>121</v>
      </c>
      <c r="D183" s="21">
        <v>73</v>
      </c>
      <c r="E183" s="21">
        <v>140</v>
      </c>
      <c r="F183" s="3">
        <v>100</v>
      </c>
      <c r="G183" s="3">
        <v>109</v>
      </c>
      <c r="H183" s="3">
        <v>119</v>
      </c>
      <c r="I183" s="3">
        <v>125</v>
      </c>
      <c r="J183" s="3">
        <v>151</v>
      </c>
      <c r="K183" s="3">
        <v>147</v>
      </c>
      <c r="L183" s="3">
        <v>137</v>
      </c>
      <c r="M183" s="3">
        <v>103</v>
      </c>
      <c r="N183" s="33">
        <v>97</v>
      </c>
      <c r="O183" s="18">
        <f t="shared" si="75"/>
        <v>1422</v>
      </c>
    </row>
    <row r="184" spans="1:15" ht="15.75" thickBot="1" x14ac:dyDescent="0.3">
      <c r="A184" s="1"/>
      <c r="B184" s="8" t="s">
        <v>19</v>
      </c>
      <c r="C184" s="32">
        <v>181</v>
      </c>
      <c r="D184" s="21">
        <v>87</v>
      </c>
      <c r="E184" s="21">
        <v>242</v>
      </c>
      <c r="F184" s="3">
        <v>108</v>
      </c>
      <c r="G184" s="3">
        <v>169</v>
      </c>
      <c r="H184" s="3">
        <v>221</v>
      </c>
      <c r="I184" s="3">
        <v>163</v>
      </c>
      <c r="J184" s="3">
        <v>252</v>
      </c>
      <c r="K184" s="3">
        <v>148</v>
      </c>
      <c r="L184" s="3">
        <v>146</v>
      </c>
      <c r="M184" s="3">
        <v>136</v>
      </c>
      <c r="N184" s="33">
        <v>124</v>
      </c>
      <c r="O184" s="18">
        <f t="shared" si="75"/>
        <v>1977</v>
      </c>
    </row>
    <row r="185" spans="1:15" ht="15.75" thickBot="1" x14ac:dyDescent="0.3">
      <c r="A185" s="1"/>
      <c r="B185" s="9" t="s">
        <v>51</v>
      </c>
      <c r="C185" s="75">
        <v>162</v>
      </c>
      <c r="D185" s="76">
        <v>205</v>
      </c>
      <c r="E185" s="76">
        <v>179</v>
      </c>
      <c r="F185" s="77">
        <v>187</v>
      </c>
      <c r="G185" s="76">
        <v>161</v>
      </c>
      <c r="H185" s="76">
        <v>172</v>
      </c>
      <c r="I185" s="76">
        <v>223</v>
      </c>
      <c r="J185" s="76">
        <v>145</v>
      </c>
      <c r="K185" s="76">
        <v>158</v>
      </c>
      <c r="L185" s="76">
        <v>171</v>
      </c>
      <c r="M185" s="76">
        <v>137</v>
      </c>
      <c r="N185" s="78">
        <v>217</v>
      </c>
      <c r="O185" s="18">
        <f t="shared" si="75"/>
        <v>2117</v>
      </c>
    </row>
    <row r="186" spans="1:15" ht="15.75" thickBot="1" x14ac:dyDescent="0.3">
      <c r="A186" s="1"/>
      <c r="B186" s="38" t="s">
        <v>21</v>
      </c>
      <c r="C186" s="70">
        <f t="shared" ref="C186:O186" si="77">+IF(C181&gt;0,C183/C181,"")</f>
        <v>5.041666666666667</v>
      </c>
      <c r="D186" s="71">
        <f t="shared" si="77"/>
        <v>3.65</v>
      </c>
      <c r="E186" s="71">
        <f t="shared" si="77"/>
        <v>5.1851851851851851</v>
      </c>
      <c r="F186" s="71">
        <f t="shared" si="77"/>
        <v>4.3478260869565215</v>
      </c>
      <c r="G186" s="71">
        <f t="shared" si="77"/>
        <v>3.40625</v>
      </c>
      <c r="H186" s="71">
        <f t="shared" si="77"/>
        <v>4.76</v>
      </c>
      <c r="I186" s="71">
        <f t="shared" si="77"/>
        <v>5.9523809523809526</v>
      </c>
      <c r="J186" s="71">
        <f t="shared" si="77"/>
        <v>5.3928571428571432</v>
      </c>
      <c r="K186" s="71">
        <f t="shared" si="77"/>
        <v>5.6538461538461542</v>
      </c>
      <c r="L186" s="71">
        <f t="shared" si="77"/>
        <v>4.8928571428571432</v>
      </c>
      <c r="M186" s="71">
        <f t="shared" si="77"/>
        <v>5.7222222222222223</v>
      </c>
      <c r="N186" s="73">
        <f t="shared" si="77"/>
        <v>6.9285714285714288</v>
      </c>
      <c r="O186" s="47">
        <f t="shared" si="77"/>
        <v>4.9720279720279716</v>
      </c>
    </row>
    <row r="187" spans="1:15" ht="15.75" thickBot="1" x14ac:dyDescent="0.3">
      <c r="A187" s="1"/>
      <c r="B187" s="38" t="s">
        <v>23</v>
      </c>
      <c r="C187" s="42">
        <f t="shared" ref="C187:N187" si="78">+IF(C181&gt;0,C181/C179,"")</f>
        <v>2.6666666666666665</v>
      </c>
      <c r="D187" s="42">
        <f t="shared" si="78"/>
        <v>2.2222222222222223</v>
      </c>
      <c r="E187" s="42">
        <f t="shared" si="78"/>
        <v>3</v>
      </c>
      <c r="F187" s="42">
        <f t="shared" si="78"/>
        <v>2.5555555555555554</v>
      </c>
      <c r="G187" s="42">
        <f t="shared" si="78"/>
        <v>3.5555555555555554</v>
      </c>
      <c r="H187" s="42">
        <f t="shared" si="78"/>
        <v>2.7777777777777777</v>
      </c>
      <c r="I187" s="42">
        <f t="shared" si="78"/>
        <v>2.3333333333333335</v>
      </c>
      <c r="J187" s="42">
        <f t="shared" si="78"/>
        <v>3.5</v>
      </c>
      <c r="K187" s="42">
        <f t="shared" si="78"/>
        <v>3.25</v>
      </c>
      <c r="L187" s="42">
        <f t="shared" si="78"/>
        <v>3.5</v>
      </c>
      <c r="M187" s="42">
        <f t="shared" si="78"/>
        <v>2.25</v>
      </c>
      <c r="N187" s="46">
        <f t="shared" si="78"/>
        <v>1.75</v>
      </c>
      <c r="O187" s="87">
        <f>+IF(O181&gt;0,AVERAGE(C181:N181)/O179,"")</f>
        <v>2.7766990291262132</v>
      </c>
    </row>
    <row r="188" spans="1:15" ht="15.75" thickBot="1" x14ac:dyDescent="0.3">
      <c r="A188" s="1"/>
      <c r="B188" s="38" t="s">
        <v>24</v>
      </c>
      <c r="C188" s="42">
        <f t="shared" ref="C188:O188" si="79">+IF(C181&gt;0,(C182-C185)/C181,"")</f>
        <v>4.875</v>
      </c>
      <c r="D188" s="42">
        <f t="shared" si="79"/>
        <v>2.35</v>
      </c>
      <c r="E188" s="42">
        <f t="shared" si="79"/>
        <v>3.7037037037037037</v>
      </c>
      <c r="F188" s="42">
        <f t="shared" si="79"/>
        <v>3.6086956521739131</v>
      </c>
      <c r="G188" s="42">
        <f t="shared" si="79"/>
        <v>3.6875</v>
      </c>
      <c r="H188" s="42">
        <f t="shared" si="79"/>
        <v>3.92</v>
      </c>
      <c r="I188" s="42">
        <f t="shared" si="79"/>
        <v>2.6666666666666665</v>
      </c>
      <c r="J188" s="42">
        <f t="shared" si="79"/>
        <v>3.6785714285714284</v>
      </c>
      <c r="K188" s="42">
        <f t="shared" si="79"/>
        <v>3.1538461538461537</v>
      </c>
      <c r="L188" s="42">
        <f t="shared" si="79"/>
        <v>2.75</v>
      </c>
      <c r="M188" s="42">
        <f t="shared" si="79"/>
        <v>5.7222222222222223</v>
      </c>
      <c r="N188" s="42">
        <f t="shared" si="79"/>
        <v>2.2142857142857144</v>
      </c>
      <c r="O188" s="47">
        <f t="shared" si="79"/>
        <v>3.5489510489510487</v>
      </c>
    </row>
    <row r="189" spans="1:15" ht="15.75" thickBot="1" x14ac:dyDescent="0.3">
      <c r="A189" s="1"/>
      <c r="B189" s="38" t="s">
        <v>25</v>
      </c>
      <c r="C189" s="42">
        <f t="shared" ref="C189:O189" si="80">+IF(C185&gt;0,(C185/C182)*100,"")</f>
        <v>58.064516129032263</v>
      </c>
      <c r="D189" s="42">
        <f t="shared" si="80"/>
        <v>81.349206349206355</v>
      </c>
      <c r="E189" s="42">
        <f t="shared" si="80"/>
        <v>64.157706093189958</v>
      </c>
      <c r="F189" s="42">
        <f t="shared" si="80"/>
        <v>69.259259259259252</v>
      </c>
      <c r="G189" s="42">
        <f t="shared" si="80"/>
        <v>57.706093189964157</v>
      </c>
      <c r="H189" s="42">
        <f t="shared" si="80"/>
        <v>63.703703703703709</v>
      </c>
      <c r="I189" s="42">
        <f t="shared" si="80"/>
        <v>79.928315412186379</v>
      </c>
      <c r="J189" s="42">
        <f t="shared" si="80"/>
        <v>58.467741935483872</v>
      </c>
      <c r="K189" s="42">
        <f t="shared" si="80"/>
        <v>65.833333333333329</v>
      </c>
      <c r="L189" s="42">
        <f t="shared" si="80"/>
        <v>68.951612903225808</v>
      </c>
      <c r="M189" s="42">
        <f t="shared" si="80"/>
        <v>57.083333333333329</v>
      </c>
      <c r="N189" s="46">
        <f t="shared" si="80"/>
        <v>87.5</v>
      </c>
      <c r="O189" s="47">
        <f t="shared" si="80"/>
        <v>67.592592592592595</v>
      </c>
    </row>
    <row r="190" spans="1:15" ht="15.75" thickBot="1" x14ac:dyDescent="0.3">
      <c r="A190" s="1"/>
      <c r="B190" s="8" t="s">
        <v>26</v>
      </c>
      <c r="C190" s="41">
        <f>+SUM(C191:C192)</f>
        <v>7</v>
      </c>
      <c r="D190" s="41">
        <f t="shared" ref="D190:N190" si="81">+SUM(D191:D192)</f>
        <v>3</v>
      </c>
      <c r="E190" s="41">
        <f t="shared" si="81"/>
        <v>8</v>
      </c>
      <c r="F190" s="41">
        <f t="shared" si="81"/>
        <v>4</v>
      </c>
      <c r="G190" s="41">
        <f t="shared" si="81"/>
        <v>6</v>
      </c>
      <c r="H190" s="41">
        <f t="shared" si="81"/>
        <v>5</v>
      </c>
      <c r="I190" s="41">
        <f t="shared" si="81"/>
        <v>5</v>
      </c>
      <c r="J190" s="41">
        <f t="shared" si="81"/>
        <v>8</v>
      </c>
      <c r="K190" s="41">
        <f t="shared" si="81"/>
        <v>9</v>
      </c>
      <c r="L190" s="41">
        <f t="shared" si="81"/>
        <v>9</v>
      </c>
      <c r="M190" s="41">
        <f t="shared" si="81"/>
        <v>6</v>
      </c>
      <c r="N190" s="45">
        <f t="shared" si="81"/>
        <v>0</v>
      </c>
      <c r="O190" s="18">
        <f>+SUM(C190:N190)</f>
        <v>70</v>
      </c>
    </row>
    <row r="191" spans="1:15" ht="15.75" thickBot="1" x14ac:dyDescent="0.3">
      <c r="A191" s="1"/>
      <c r="B191" s="8" t="s">
        <v>52</v>
      </c>
      <c r="C191" s="32">
        <v>6</v>
      </c>
      <c r="D191" s="21">
        <v>1</v>
      </c>
      <c r="E191" s="21">
        <v>6</v>
      </c>
      <c r="F191" s="3">
        <v>1</v>
      </c>
      <c r="G191" s="3">
        <v>2</v>
      </c>
      <c r="H191" s="3">
        <v>3</v>
      </c>
      <c r="I191" s="3">
        <v>1</v>
      </c>
      <c r="J191" s="3">
        <v>3</v>
      </c>
      <c r="K191" s="3">
        <v>7</v>
      </c>
      <c r="L191" s="3">
        <v>5</v>
      </c>
      <c r="M191" s="3">
        <v>4</v>
      </c>
      <c r="N191" s="33">
        <v>0</v>
      </c>
      <c r="O191" s="18">
        <f>+SUM(C191:N191)</f>
        <v>39</v>
      </c>
    </row>
    <row r="192" spans="1:15" ht="15.75" thickBot="1" x14ac:dyDescent="0.3">
      <c r="A192" s="1"/>
      <c r="B192" s="8" t="s">
        <v>53</v>
      </c>
      <c r="C192" s="32">
        <v>1</v>
      </c>
      <c r="D192" s="21">
        <v>2</v>
      </c>
      <c r="E192" s="21">
        <v>2</v>
      </c>
      <c r="F192" s="3">
        <v>3</v>
      </c>
      <c r="G192" s="3">
        <v>4</v>
      </c>
      <c r="H192" s="3">
        <v>2</v>
      </c>
      <c r="I192" s="3">
        <v>4</v>
      </c>
      <c r="J192" s="3">
        <v>5</v>
      </c>
      <c r="K192" s="3">
        <v>2</v>
      </c>
      <c r="L192" s="3">
        <v>4</v>
      </c>
      <c r="M192" s="3">
        <v>2</v>
      </c>
      <c r="N192" s="33">
        <v>0</v>
      </c>
      <c r="O192" s="18">
        <f>+SUM(C192:N192)</f>
        <v>31</v>
      </c>
    </row>
    <row r="193" spans="1:15" ht="15.75" thickBot="1" x14ac:dyDescent="0.3">
      <c r="A193" s="1"/>
      <c r="B193" s="15" t="s">
        <v>31</v>
      </c>
      <c r="C193" s="25">
        <v>0</v>
      </c>
      <c r="D193" s="25">
        <v>1</v>
      </c>
      <c r="E193" s="25">
        <v>2</v>
      </c>
      <c r="F193" s="34">
        <v>1</v>
      </c>
      <c r="G193" s="34">
        <v>0</v>
      </c>
      <c r="H193" s="34">
        <v>1</v>
      </c>
      <c r="I193" s="34">
        <v>1</v>
      </c>
      <c r="J193" s="34">
        <v>0</v>
      </c>
      <c r="K193" s="34">
        <v>0</v>
      </c>
      <c r="L193" s="34">
        <v>0</v>
      </c>
      <c r="M193" s="34">
        <v>0</v>
      </c>
      <c r="N193" s="35">
        <v>0</v>
      </c>
      <c r="O193" s="28">
        <f>+SUM(C193:N193)</f>
        <v>6</v>
      </c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thickBo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6.5" thickBot="1" x14ac:dyDescent="0.3">
      <c r="A196" s="1"/>
      <c r="B196" s="1"/>
      <c r="C196" s="199" t="s">
        <v>49</v>
      </c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199">
        <f>+[3]INICIO!I4</f>
        <v>2017</v>
      </c>
      <c r="O196" s="201"/>
    </row>
    <row r="197" spans="1:15" ht="15.75" thickBot="1" x14ac:dyDescent="0.3">
      <c r="A197" s="1"/>
      <c r="B197" s="7"/>
      <c r="C197" s="39">
        <v>31</v>
      </c>
      <c r="D197" s="39">
        <v>28</v>
      </c>
      <c r="E197" s="39">
        <v>31</v>
      </c>
      <c r="F197" s="39">
        <v>30</v>
      </c>
      <c r="G197" s="39">
        <v>31</v>
      </c>
      <c r="H197" s="39">
        <v>30</v>
      </c>
      <c r="I197" s="39">
        <v>31</v>
      </c>
      <c r="J197" s="39">
        <v>31</v>
      </c>
      <c r="K197" s="39">
        <v>30</v>
      </c>
      <c r="L197" s="39">
        <v>31</v>
      </c>
      <c r="M197" s="39">
        <v>30</v>
      </c>
      <c r="N197" s="39">
        <v>31</v>
      </c>
      <c r="O197" s="40">
        <v>4</v>
      </c>
    </row>
    <row r="198" spans="1:15" ht="15.75" thickBot="1" x14ac:dyDescent="0.3">
      <c r="A198" s="1"/>
      <c r="B198" s="10" t="s">
        <v>67</v>
      </c>
      <c r="C198" s="11" t="s">
        <v>1</v>
      </c>
      <c r="D198" s="12" t="s">
        <v>2</v>
      </c>
      <c r="E198" s="12" t="s">
        <v>3</v>
      </c>
      <c r="F198" s="12" t="s">
        <v>4</v>
      </c>
      <c r="G198" s="12" t="s">
        <v>5</v>
      </c>
      <c r="H198" s="12" t="s">
        <v>6</v>
      </c>
      <c r="I198" s="12" t="s">
        <v>7</v>
      </c>
      <c r="J198" s="12" t="s">
        <v>8</v>
      </c>
      <c r="K198" s="13" t="s">
        <v>9</v>
      </c>
      <c r="L198" s="13" t="s">
        <v>10</v>
      </c>
      <c r="M198" s="13" t="s">
        <v>11</v>
      </c>
      <c r="N198" s="13" t="s">
        <v>12</v>
      </c>
      <c r="O198" s="14" t="s">
        <v>13</v>
      </c>
    </row>
    <row r="199" spans="1:15" ht="15.75" thickBot="1" x14ac:dyDescent="0.3">
      <c r="A199" s="1"/>
      <c r="B199" s="8" t="s">
        <v>14</v>
      </c>
      <c r="C199" s="44">
        <v>4</v>
      </c>
      <c r="D199" s="44">
        <v>4</v>
      </c>
      <c r="E199" s="44">
        <v>4</v>
      </c>
      <c r="F199" s="44">
        <v>4</v>
      </c>
      <c r="G199" s="44">
        <v>4</v>
      </c>
      <c r="H199" s="44">
        <v>4</v>
      </c>
      <c r="I199" s="44">
        <v>4</v>
      </c>
      <c r="J199" s="44">
        <v>4</v>
      </c>
      <c r="K199" s="44">
        <v>4</v>
      </c>
      <c r="L199" s="44">
        <v>4</v>
      </c>
      <c r="M199" s="44">
        <v>4</v>
      </c>
      <c r="N199" s="48">
        <v>4</v>
      </c>
      <c r="O199" s="36">
        <f>+AVERAGE(C199:N199)</f>
        <v>4</v>
      </c>
    </row>
    <row r="200" spans="1:15" ht="15.75" thickBot="1" x14ac:dyDescent="0.3">
      <c r="A200" s="1"/>
      <c r="B200" s="8" t="s">
        <v>15</v>
      </c>
      <c r="C200" s="32">
        <v>10</v>
      </c>
      <c r="D200" s="21">
        <v>5</v>
      </c>
      <c r="E200" s="21">
        <v>5</v>
      </c>
      <c r="F200" s="3">
        <v>5</v>
      </c>
      <c r="G200" s="3">
        <v>5</v>
      </c>
      <c r="H200" s="3">
        <v>9</v>
      </c>
      <c r="I200" s="3">
        <v>10</v>
      </c>
      <c r="J200" s="3">
        <v>7</v>
      </c>
      <c r="K200" s="3">
        <v>10</v>
      </c>
      <c r="L200" s="3">
        <v>12</v>
      </c>
      <c r="M200" s="3">
        <v>11</v>
      </c>
      <c r="N200" s="33">
        <v>7</v>
      </c>
      <c r="O200" s="18">
        <f t="shared" ref="O200:O205" si="82">+SUM(C200:N200)</f>
        <v>96</v>
      </c>
    </row>
    <row r="201" spans="1:15" ht="15.75" thickBot="1" x14ac:dyDescent="0.3">
      <c r="A201" s="1"/>
      <c r="B201" s="8" t="s">
        <v>16</v>
      </c>
      <c r="C201" s="32">
        <v>9</v>
      </c>
      <c r="D201" s="21">
        <v>1</v>
      </c>
      <c r="E201" s="21">
        <v>1</v>
      </c>
      <c r="F201" s="3">
        <v>5</v>
      </c>
      <c r="G201" s="3">
        <v>6</v>
      </c>
      <c r="H201" s="3">
        <v>7</v>
      </c>
      <c r="I201" s="3">
        <v>11</v>
      </c>
      <c r="J201" s="3">
        <v>8</v>
      </c>
      <c r="K201" s="3">
        <v>9</v>
      </c>
      <c r="L201" s="3">
        <v>12</v>
      </c>
      <c r="M201" s="3">
        <v>10</v>
      </c>
      <c r="N201" s="33">
        <v>9</v>
      </c>
      <c r="O201" s="18">
        <f t="shared" si="82"/>
        <v>88</v>
      </c>
    </row>
    <row r="202" spans="1:15" ht="15.75" thickBot="1" x14ac:dyDescent="0.3">
      <c r="A202" s="1"/>
      <c r="B202" s="8" t="s">
        <v>17</v>
      </c>
      <c r="C202" s="41">
        <f>+C197*C199</f>
        <v>124</v>
      </c>
      <c r="D202" s="41">
        <f t="shared" ref="D202:N202" si="83">+D197*D199</f>
        <v>112</v>
      </c>
      <c r="E202" s="41">
        <f t="shared" si="83"/>
        <v>124</v>
      </c>
      <c r="F202" s="41">
        <f t="shared" si="83"/>
        <v>120</v>
      </c>
      <c r="G202" s="41">
        <f t="shared" si="83"/>
        <v>124</v>
      </c>
      <c r="H202" s="41">
        <f t="shared" si="83"/>
        <v>120</v>
      </c>
      <c r="I202" s="41">
        <f t="shared" si="83"/>
        <v>124</v>
      </c>
      <c r="J202" s="41">
        <f t="shared" si="83"/>
        <v>124</v>
      </c>
      <c r="K202" s="41">
        <f t="shared" si="83"/>
        <v>120</v>
      </c>
      <c r="L202" s="41">
        <f t="shared" si="83"/>
        <v>124</v>
      </c>
      <c r="M202" s="41">
        <f t="shared" si="83"/>
        <v>120</v>
      </c>
      <c r="N202" s="41">
        <f t="shared" si="83"/>
        <v>124</v>
      </c>
      <c r="O202" s="18">
        <f t="shared" si="82"/>
        <v>1460</v>
      </c>
    </row>
    <row r="203" spans="1:15" ht="15.75" thickBot="1" x14ac:dyDescent="0.3">
      <c r="A203" s="1"/>
      <c r="B203" s="8" t="s">
        <v>18</v>
      </c>
      <c r="C203" s="32">
        <v>31</v>
      </c>
      <c r="D203" s="21">
        <v>2</v>
      </c>
      <c r="E203" s="21">
        <v>29</v>
      </c>
      <c r="F203" s="3">
        <v>19</v>
      </c>
      <c r="G203" s="3">
        <v>34</v>
      </c>
      <c r="H203" s="3">
        <v>41</v>
      </c>
      <c r="I203" s="3">
        <v>84</v>
      </c>
      <c r="J203" s="3">
        <v>27</v>
      </c>
      <c r="K203" s="3">
        <v>34</v>
      </c>
      <c r="L203" s="3">
        <v>45</v>
      </c>
      <c r="M203" s="3">
        <v>33</v>
      </c>
      <c r="N203" s="33">
        <v>31</v>
      </c>
      <c r="O203" s="18">
        <f t="shared" si="82"/>
        <v>410</v>
      </c>
    </row>
    <row r="204" spans="1:15" ht="15.75" thickBot="1" x14ac:dyDescent="0.3">
      <c r="A204" s="1"/>
      <c r="B204" s="8" t="s">
        <v>19</v>
      </c>
      <c r="C204" s="32">
        <v>77</v>
      </c>
      <c r="D204" s="21">
        <v>2</v>
      </c>
      <c r="E204" s="21">
        <v>74</v>
      </c>
      <c r="F204" s="3">
        <v>24</v>
      </c>
      <c r="G204" s="3">
        <v>36</v>
      </c>
      <c r="H204" s="3">
        <v>104</v>
      </c>
      <c r="I204" s="3">
        <v>124</v>
      </c>
      <c r="J204" s="3">
        <v>43</v>
      </c>
      <c r="K204" s="3">
        <v>44</v>
      </c>
      <c r="L204" s="3">
        <v>49</v>
      </c>
      <c r="M204" s="3">
        <v>64</v>
      </c>
      <c r="N204" s="33">
        <v>45</v>
      </c>
      <c r="O204" s="18">
        <f t="shared" si="82"/>
        <v>686</v>
      </c>
    </row>
    <row r="205" spans="1:15" ht="15.75" thickBot="1" x14ac:dyDescent="0.3">
      <c r="A205" s="1"/>
      <c r="B205" s="9" t="s">
        <v>51</v>
      </c>
      <c r="C205" s="75">
        <v>51</v>
      </c>
      <c r="D205" s="76">
        <v>38</v>
      </c>
      <c r="E205" s="76">
        <v>46</v>
      </c>
      <c r="F205" s="77">
        <v>51</v>
      </c>
      <c r="G205" s="76">
        <v>64</v>
      </c>
      <c r="H205" s="76">
        <v>78</v>
      </c>
      <c r="I205" s="76">
        <v>72</v>
      </c>
      <c r="J205" s="76">
        <v>36</v>
      </c>
      <c r="K205" s="76">
        <v>39</v>
      </c>
      <c r="L205" s="76">
        <v>76</v>
      </c>
      <c r="M205" s="76">
        <v>48</v>
      </c>
      <c r="N205" s="78">
        <v>30</v>
      </c>
      <c r="O205" s="18">
        <f t="shared" si="82"/>
        <v>629</v>
      </c>
    </row>
    <row r="206" spans="1:15" ht="15.75" thickBot="1" x14ac:dyDescent="0.3">
      <c r="A206" s="1"/>
      <c r="B206" s="38" t="s">
        <v>21</v>
      </c>
      <c r="C206" s="70">
        <f t="shared" ref="C206:O206" si="84">+IF(C201&gt;0,C203/C201,"")</f>
        <v>3.4444444444444446</v>
      </c>
      <c r="D206" s="71">
        <f t="shared" si="84"/>
        <v>2</v>
      </c>
      <c r="E206" s="71">
        <f t="shared" si="84"/>
        <v>29</v>
      </c>
      <c r="F206" s="71">
        <f t="shared" si="84"/>
        <v>3.8</v>
      </c>
      <c r="G206" s="71">
        <f t="shared" si="84"/>
        <v>5.666666666666667</v>
      </c>
      <c r="H206" s="71">
        <f t="shared" si="84"/>
        <v>5.8571428571428568</v>
      </c>
      <c r="I206" s="71">
        <f t="shared" si="84"/>
        <v>7.6363636363636367</v>
      </c>
      <c r="J206" s="71">
        <f t="shared" si="84"/>
        <v>3.375</v>
      </c>
      <c r="K206" s="71">
        <f t="shared" si="84"/>
        <v>3.7777777777777777</v>
      </c>
      <c r="L206" s="71">
        <f t="shared" si="84"/>
        <v>3.75</v>
      </c>
      <c r="M206" s="71">
        <f t="shared" si="84"/>
        <v>3.3</v>
      </c>
      <c r="N206" s="73">
        <f t="shared" si="84"/>
        <v>3.4444444444444446</v>
      </c>
      <c r="O206" s="47">
        <f t="shared" si="84"/>
        <v>4.6590909090909092</v>
      </c>
    </row>
    <row r="207" spans="1:15" ht="15.75" thickBot="1" x14ac:dyDescent="0.3">
      <c r="A207" s="1"/>
      <c r="B207" s="38" t="s">
        <v>23</v>
      </c>
      <c r="C207" s="42">
        <f t="shared" ref="C207:N207" si="85">+IF(C201&gt;0,C201/C199,"")</f>
        <v>2.25</v>
      </c>
      <c r="D207" s="42">
        <f t="shared" si="85"/>
        <v>0.25</v>
      </c>
      <c r="E207" s="42">
        <f t="shared" si="85"/>
        <v>0.25</v>
      </c>
      <c r="F207" s="42">
        <f t="shared" si="85"/>
        <v>1.25</v>
      </c>
      <c r="G207" s="42">
        <f t="shared" si="85"/>
        <v>1.5</v>
      </c>
      <c r="H207" s="42">
        <f t="shared" si="85"/>
        <v>1.75</v>
      </c>
      <c r="I207" s="42">
        <f t="shared" si="85"/>
        <v>2.75</v>
      </c>
      <c r="J207" s="42">
        <f t="shared" si="85"/>
        <v>2</v>
      </c>
      <c r="K207" s="42">
        <f t="shared" si="85"/>
        <v>2.25</v>
      </c>
      <c r="L207" s="42">
        <f t="shared" si="85"/>
        <v>3</v>
      </c>
      <c r="M207" s="42">
        <f t="shared" si="85"/>
        <v>2.5</v>
      </c>
      <c r="N207" s="46">
        <f t="shared" si="85"/>
        <v>2.25</v>
      </c>
      <c r="O207" s="87">
        <f>+IF(O201&gt;0,AVERAGE(C201:N201)/O199,"")</f>
        <v>1.8333333333333333</v>
      </c>
    </row>
    <row r="208" spans="1:15" ht="15.75" thickBot="1" x14ac:dyDescent="0.3">
      <c r="A208" s="1"/>
      <c r="B208" s="38" t="s">
        <v>24</v>
      </c>
      <c r="C208" s="42">
        <f t="shared" ref="C208:O208" si="86">+IF(C201&gt;0,(C202-C205)/C201,"")</f>
        <v>8.1111111111111107</v>
      </c>
      <c r="D208" s="42">
        <f t="shared" si="86"/>
        <v>74</v>
      </c>
      <c r="E208" s="42">
        <f t="shared" si="86"/>
        <v>78</v>
      </c>
      <c r="F208" s="42">
        <f t="shared" si="86"/>
        <v>13.8</v>
      </c>
      <c r="G208" s="42">
        <f t="shared" si="86"/>
        <v>10</v>
      </c>
      <c r="H208" s="42">
        <f t="shared" si="86"/>
        <v>6</v>
      </c>
      <c r="I208" s="42">
        <f t="shared" si="86"/>
        <v>4.7272727272727275</v>
      </c>
      <c r="J208" s="42">
        <f t="shared" si="86"/>
        <v>11</v>
      </c>
      <c r="K208" s="42">
        <f t="shared" si="86"/>
        <v>9</v>
      </c>
      <c r="L208" s="42">
        <f t="shared" si="86"/>
        <v>4</v>
      </c>
      <c r="M208" s="42">
        <f t="shared" si="86"/>
        <v>7.2</v>
      </c>
      <c r="N208" s="42">
        <f t="shared" si="86"/>
        <v>10.444444444444445</v>
      </c>
      <c r="O208" s="47">
        <f t="shared" si="86"/>
        <v>9.4431818181818183</v>
      </c>
    </row>
    <row r="209" spans="1:15" ht="15.75" thickBot="1" x14ac:dyDescent="0.3">
      <c r="A209" s="1"/>
      <c r="B209" s="38" t="s">
        <v>25</v>
      </c>
      <c r="C209" s="42">
        <f t="shared" ref="C209:O209" si="87">+IF(C205&gt;0,(C205/C202)*100,"")</f>
        <v>41.12903225806452</v>
      </c>
      <c r="D209" s="42">
        <f t="shared" si="87"/>
        <v>33.928571428571431</v>
      </c>
      <c r="E209" s="42">
        <f t="shared" si="87"/>
        <v>37.096774193548384</v>
      </c>
      <c r="F209" s="42">
        <f t="shared" si="87"/>
        <v>42.5</v>
      </c>
      <c r="G209" s="42">
        <f t="shared" si="87"/>
        <v>51.612903225806448</v>
      </c>
      <c r="H209" s="42">
        <f t="shared" si="87"/>
        <v>65</v>
      </c>
      <c r="I209" s="42">
        <f t="shared" si="87"/>
        <v>58.064516129032263</v>
      </c>
      <c r="J209" s="42">
        <f t="shared" si="87"/>
        <v>29.032258064516132</v>
      </c>
      <c r="K209" s="42">
        <f t="shared" si="87"/>
        <v>32.5</v>
      </c>
      <c r="L209" s="42">
        <f t="shared" si="87"/>
        <v>61.29032258064516</v>
      </c>
      <c r="M209" s="42">
        <f t="shared" si="87"/>
        <v>40</v>
      </c>
      <c r="N209" s="46">
        <f t="shared" si="87"/>
        <v>24.193548387096776</v>
      </c>
      <c r="O209" s="47">
        <f t="shared" si="87"/>
        <v>43.082191780821915</v>
      </c>
    </row>
    <row r="210" spans="1:15" ht="15.75" thickBot="1" x14ac:dyDescent="0.3">
      <c r="A210" s="1"/>
      <c r="B210" s="8" t="s">
        <v>26</v>
      </c>
      <c r="C210" s="41">
        <f>+SUM(C211:C212)</f>
        <v>2</v>
      </c>
      <c r="D210" s="41">
        <f t="shared" ref="D210:N210" si="88">+SUM(D211:D212)</f>
        <v>0</v>
      </c>
      <c r="E210" s="41">
        <f t="shared" si="88"/>
        <v>0</v>
      </c>
      <c r="F210" s="41">
        <f t="shared" si="88"/>
        <v>0</v>
      </c>
      <c r="G210" s="41">
        <f t="shared" si="88"/>
        <v>1</v>
      </c>
      <c r="H210" s="41">
        <f t="shared" si="88"/>
        <v>1</v>
      </c>
      <c r="I210" s="41">
        <f t="shared" si="88"/>
        <v>1</v>
      </c>
      <c r="J210" s="41">
        <f t="shared" si="88"/>
        <v>2</v>
      </c>
      <c r="K210" s="41">
        <f t="shared" si="88"/>
        <v>0</v>
      </c>
      <c r="L210" s="41">
        <f t="shared" si="88"/>
        <v>2</v>
      </c>
      <c r="M210" s="41">
        <f t="shared" si="88"/>
        <v>2</v>
      </c>
      <c r="N210" s="45">
        <f t="shared" si="88"/>
        <v>2</v>
      </c>
      <c r="O210" s="18">
        <f>+SUM(C210:N210)</f>
        <v>13</v>
      </c>
    </row>
    <row r="211" spans="1:15" ht="15.75" thickBot="1" x14ac:dyDescent="0.3">
      <c r="A211" s="1"/>
      <c r="B211" s="8" t="s">
        <v>52</v>
      </c>
      <c r="C211" s="32">
        <v>2</v>
      </c>
      <c r="D211" s="21">
        <v>0</v>
      </c>
      <c r="E211" s="21">
        <v>0</v>
      </c>
      <c r="F211" s="3">
        <v>0</v>
      </c>
      <c r="G211" s="3">
        <v>1</v>
      </c>
      <c r="H211" s="3">
        <v>0</v>
      </c>
      <c r="I211" s="3">
        <v>1</v>
      </c>
      <c r="J211" s="3">
        <v>0</v>
      </c>
      <c r="K211" s="3">
        <v>0</v>
      </c>
      <c r="L211" s="3">
        <v>1</v>
      </c>
      <c r="M211" s="3">
        <v>1</v>
      </c>
      <c r="N211" s="33">
        <v>1</v>
      </c>
      <c r="O211" s="18">
        <f>+SUM(C211:N211)</f>
        <v>7</v>
      </c>
    </row>
    <row r="212" spans="1:15" ht="15.75" thickBot="1" x14ac:dyDescent="0.3">
      <c r="A212" s="1"/>
      <c r="B212" s="8" t="s">
        <v>53</v>
      </c>
      <c r="C212" s="32">
        <v>0</v>
      </c>
      <c r="D212" s="21">
        <v>0</v>
      </c>
      <c r="E212" s="21">
        <v>0</v>
      </c>
      <c r="F212" s="3">
        <v>0</v>
      </c>
      <c r="G212" s="3">
        <v>0</v>
      </c>
      <c r="H212" s="3">
        <v>1</v>
      </c>
      <c r="I212" s="3">
        <v>0</v>
      </c>
      <c r="J212" s="3">
        <v>2</v>
      </c>
      <c r="K212" s="3">
        <v>0</v>
      </c>
      <c r="L212" s="3">
        <v>1</v>
      </c>
      <c r="M212" s="3">
        <v>1</v>
      </c>
      <c r="N212" s="33">
        <v>1</v>
      </c>
      <c r="O212" s="18">
        <f>+SUM(C212:N212)</f>
        <v>6</v>
      </c>
    </row>
    <row r="213" spans="1:15" ht="15.75" thickBot="1" x14ac:dyDescent="0.3">
      <c r="A213" s="1"/>
      <c r="B213" s="15" t="s">
        <v>31</v>
      </c>
      <c r="C213" s="25">
        <v>0</v>
      </c>
      <c r="D213" s="25">
        <v>1</v>
      </c>
      <c r="E213" s="25">
        <v>0</v>
      </c>
      <c r="F213" s="34">
        <v>0</v>
      </c>
      <c r="G213" s="34"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v>0</v>
      </c>
      <c r="N213" s="35">
        <v>0</v>
      </c>
      <c r="O213" s="28">
        <f>+SUM(C213:N213)</f>
        <v>1</v>
      </c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thickBo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6.5" thickBot="1" x14ac:dyDescent="0.3">
      <c r="A216" s="1"/>
      <c r="B216" s="1"/>
      <c r="C216" s="199" t="s">
        <v>49</v>
      </c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199">
        <f>+[3]INICIO!I4</f>
        <v>2017</v>
      </c>
      <c r="O216" s="201"/>
    </row>
    <row r="217" spans="1:15" ht="15.75" thickBot="1" x14ac:dyDescent="0.3">
      <c r="A217" s="1"/>
      <c r="B217" s="7"/>
      <c r="C217" s="39">
        <v>31</v>
      </c>
      <c r="D217" s="39">
        <v>28</v>
      </c>
      <c r="E217" s="39">
        <v>31</v>
      </c>
      <c r="F217" s="39">
        <v>30</v>
      </c>
      <c r="G217" s="39">
        <v>31</v>
      </c>
      <c r="H217" s="39">
        <v>30</v>
      </c>
      <c r="I217" s="39">
        <v>31</v>
      </c>
      <c r="J217" s="39">
        <v>31</v>
      </c>
      <c r="K217" s="39">
        <v>30</v>
      </c>
      <c r="L217" s="39">
        <v>31</v>
      </c>
      <c r="M217" s="39">
        <v>30</v>
      </c>
      <c r="N217" s="39">
        <v>31</v>
      </c>
      <c r="O217" s="40">
        <v>11</v>
      </c>
    </row>
    <row r="218" spans="1:15" ht="15.75" thickBot="1" x14ac:dyDescent="0.3">
      <c r="A218" s="1"/>
      <c r="B218" s="10" t="s">
        <v>68</v>
      </c>
      <c r="C218" s="11" t="s">
        <v>1</v>
      </c>
      <c r="D218" s="12" t="s">
        <v>2</v>
      </c>
      <c r="E218" s="12" t="s">
        <v>3</v>
      </c>
      <c r="F218" s="12" t="s">
        <v>4</v>
      </c>
      <c r="G218" s="12" t="s">
        <v>5</v>
      </c>
      <c r="H218" s="12" t="s">
        <v>6</v>
      </c>
      <c r="I218" s="12" t="s">
        <v>7</v>
      </c>
      <c r="J218" s="12" t="s">
        <v>8</v>
      </c>
      <c r="K218" s="13" t="s">
        <v>9</v>
      </c>
      <c r="L218" s="13" t="s">
        <v>10</v>
      </c>
      <c r="M218" s="13" t="s">
        <v>11</v>
      </c>
      <c r="N218" s="13" t="s">
        <v>12</v>
      </c>
      <c r="O218" s="14" t="s">
        <v>13</v>
      </c>
    </row>
    <row r="219" spans="1:15" ht="15.75" thickBot="1" x14ac:dyDescent="0.3">
      <c r="A219" s="1"/>
      <c r="B219" s="8" t="s">
        <v>14</v>
      </c>
      <c r="C219" s="44">
        <v>11</v>
      </c>
      <c r="D219" s="44">
        <v>11</v>
      </c>
      <c r="E219" s="44">
        <v>11</v>
      </c>
      <c r="F219" s="44">
        <v>11</v>
      </c>
      <c r="G219" s="44">
        <v>11</v>
      </c>
      <c r="H219" s="44">
        <v>11</v>
      </c>
      <c r="I219" s="44">
        <v>11</v>
      </c>
      <c r="J219" s="44">
        <v>11</v>
      </c>
      <c r="K219" s="44">
        <v>11</v>
      </c>
      <c r="L219" s="44">
        <v>11</v>
      </c>
      <c r="M219" s="44">
        <v>11</v>
      </c>
      <c r="N219" s="48">
        <v>11</v>
      </c>
      <c r="O219" s="36">
        <f>+AVERAGE(C219:N219)</f>
        <v>11</v>
      </c>
    </row>
    <row r="220" spans="1:15" ht="15.75" thickBot="1" x14ac:dyDescent="0.3">
      <c r="A220" s="1"/>
      <c r="B220" s="8" t="s">
        <v>15</v>
      </c>
      <c r="C220" s="32">
        <v>34</v>
      </c>
      <c r="D220" s="21">
        <v>27</v>
      </c>
      <c r="E220" s="21">
        <v>30</v>
      </c>
      <c r="F220" s="3">
        <v>29</v>
      </c>
      <c r="G220" s="3">
        <v>20</v>
      </c>
      <c r="H220" s="3">
        <v>29</v>
      </c>
      <c r="I220" s="3">
        <v>28</v>
      </c>
      <c r="J220" s="3">
        <v>21</v>
      </c>
      <c r="K220" s="3">
        <v>28</v>
      </c>
      <c r="L220" s="3">
        <v>29</v>
      </c>
      <c r="M220" s="3">
        <v>27</v>
      </c>
      <c r="N220" s="33">
        <v>22</v>
      </c>
      <c r="O220" s="18">
        <f t="shared" ref="O220:O225" si="89">+SUM(C220:N220)</f>
        <v>324</v>
      </c>
    </row>
    <row r="221" spans="1:15" ht="15.75" thickBot="1" x14ac:dyDescent="0.3">
      <c r="A221" s="1"/>
      <c r="B221" s="8" t="s">
        <v>16</v>
      </c>
      <c r="C221" s="32">
        <v>33</v>
      </c>
      <c r="D221" s="21">
        <v>26</v>
      </c>
      <c r="E221" s="21">
        <v>30</v>
      </c>
      <c r="F221" s="3">
        <v>29</v>
      </c>
      <c r="G221" s="3">
        <v>22</v>
      </c>
      <c r="H221" s="3">
        <v>26</v>
      </c>
      <c r="I221" s="3">
        <v>29</v>
      </c>
      <c r="J221" s="3">
        <v>21</v>
      </c>
      <c r="K221" s="3">
        <v>29</v>
      </c>
      <c r="L221" s="3">
        <v>28</v>
      </c>
      <c r="M221" s="3">
        <v>26</v>
      </c>
      <c r="N221" s="33">
        <v>27</v>
      </c>
      <c r="O221" s="18">
        <f t="shared" si="89"/>
        <v>326</v>
      </c>
    </row>
    <row r="222" spans="1:15" ht="15.75" thickBot="1" x14ac:dyDescent="0.3">
      <c r="A222" s="1"/>
      <c r="B222" s="8" t="s">
        <v>17</v>
      </c>
      <c r="C222" s="41">
        <f>+C217*C219</f>
        <v>341</v>
      </c>
      <c r="D222" s="41">
        <f t="shared" ref="D222:N222" si="90">+D217*D219</f>
        <v>308</v>
      </c>
      <c r="E222" s="41">
        <f t="shared" si="90"/>
        <v>341</v>
      </c>
      <c r="F222" s="41">
        <f t="shared" si="90"/>
        <v>330</v>
      </c>
      <c r="G222" s="41">
        <f t="shared" si="90"/>
        <v>341</v>
      </c>
      <c r="H222" s="41">
        <f t="shared" si="90"/>
        <v>330</v>
      </c>
      <c r="I222" s="41">
        <f t="shared" si="90"/>
        <v>341</v>
      </c>
      <c r="J222" s="41">
        <f t="shared" si="90"/>
        <v>341</v>
      </c>
      <c r="K222" s="41">
        <f t="shared" si="90"/>
        <v>330</v>
      </c>
      <c r="L222" s="41">
        <f t="shared" si="90"/>
        <v>341</v>
      </c>
      <c r="M222" s="41">
        <f t="shared" si="90"/>
        <v>330</v>
      </c>
      <c r="N222" s="41">
        <f t="shared" si="90"/>
        <v>341</v>
      </c>
      <c r="O222" s="18">
        <f t="shared" si="89"/>
        <v>4015</v>
      </c>
    </row>
    <row r="223" spans="1:15" ht="15.75" thickBot="1" x14ac:dyDescent="0.3">
      <c r="A223" s="1"/>
      <c r="B223" s="8" t="s">
        <v>18</v>
      </c>
      <c r="C223" s="32">
        <v>92</v>
      </c>
      <c r="D223" s="21">
        <v>77</v>
      </c>
      <c r="E223" s="21">
        <v>133</v>
      </c>
      <c r="F223" s="3">
        <v>98</v>
      </c>
      <c r="G223" s="3">
        <v>90</v>
      </c>
      <c r="H223" s="3">
        <v>67</v>
      </c>
      <c r="I223" s="3">
        <v>149</v>
      </c>
      <c r="J223" s="3">
        <v>85</v>
      </c>
      <c r="K223" s="3">
        <v>97</v>
      </c>
      <c r="L223" s="3">
        <v>92</v>
      </c>
      <c r="M223" s="3">
        <v>84</v>
      </c>
      <c r="N223" s="33">
        <v>105</v>
      </c>
      <c r="O223" s="18">
        <f t="shared" si="89"/>
        <v>1169</v>
      </c>
    </row>
    <row r="224" spans="1:15" ht="15.75" thickBot="1" x14ac:dyDescent="0.3">
      <c r="A224" s="1"/>
      <c r="B224" s="8" t="s">
        <v>19</v>
      </c>
      <c r="C224" s="32">
        <v>92</v>
      </c>
      <c r="D224" s="21">
        <v>87</v>
      </c>
      <c r="E224" s="21">
        <v>137</v>
      </c>
      <c r="F224" s="3">
        <v>101</v>
      </c>
      <c r="G224" s="3">
        <v>101</v>
      </c>
      <c r="H224" s="3">
        <v>70</v>
      </c>
      <c r="I224" s="3">
        <v>171</v>
      </c>
      <c r="J224" s="3">
        <v>95</v>
      </c>
      <c r="K224" s="3">
        <v>113</v>
      </c>
      <c r="L224" s="3">
        <v>103</v>
      </c>
      <c r="M224" s="3">
        <v>99</v>
      </c>
      <c r="N224" s="33">
        <v>122</v>
      </c>
      <c r="O224" s="18">
        <f t="shared" si="89"/>
        <v>1291</v>
      </c>
    </row>
    <row r="225" spans="1:15" ht="15.75" thickBot="1" x14ac:dyDescent="0.3">
      <c r="A225" s="1"/>
      <c r="B225" s="9" t="s">
        <v>51</v>
      </c>
      <c r="C225" s="75">
        <v>83</v>
      </c>
      <c r="D225" s="76">
        <v>82</v>
      </c>
      <c r="E225" s="76">
        <v>105</v>
      </c>
      <c r="F225" s="77">
        <v>77</v>
      </c>
      <c r="G225" s="76">
        <v>90</v>
      </c>
      <c r="H225" s="76">
        <v>87</v>
      </c>
      <c r="I225" s="76">
        <v>159</v>
      </c>
      <c r="J225" s="76">
        <v>101</v>
      </c>
      <c r="K225" s="76">
        <v>107</v>
      </c>
      <c r="L225" s="76">
        <v>103</v>
      </c>
      <c r="M225" s="76">
        <v>73</v>
      </c>
      <c r="N225" s="78">
        <v>98</v>
      </c>
      <c r="O225" s="18">
        <f t="shared" si="89"/>
        <v>1165</v>
      </c>
    </row>
    <row r="226" spans="1:15" ht="15.75" thickBot="1" x14ac:dyDescent="0.3">
      <c r="A226" s="1"/>
      <c r="B226" s="38" t="s">
        <v>21</v>
      </c>
      <c r="C226" s="70">
        <f t="shared" ref="C226:O226" si="91">+IF(C221&gt;0,C223/C221,"")</f>
        <v>2.7878787878787881</v>
      </c>
      <c r="D226" s="71">
        <f t="shared" si="91"/>
        <v>2.9615384615384617</v>
      </c>
      <c r="E226" s="71">
        <f t="shared" si="91"/>
        <v>4.4333333333333336</v>
      </c>
      <c r="F226" s="71">
        <f t="shared" si="91"/>
        <v>3.3793103448275863</v>
      </c>
      <c r="G226" s="71">
        <f t="shared" si="91"/>
        <v>4.0909090909090908</v>
      </c>
      <c r="H226" s="71">
        <f t="shared" si="91"/>
        <v>2.5769230769230771</v>
      </c>
      <c r="I226" s="71">
        <f t="shared" si="91"/>
        <v>5.1379310344827589</v>
      </c>
      <c r="J226" s="71">
        <f t="shared" si="91"/>
        <v>4.0476190476190474</v>
      </c>
      <c r="K226" s="71">
        <f t="shared" si="91"/>
        <v>3.3448275862068964</v>
      </c>
      <c r="L226" s="71">
        <f t="shared" si="91"/>
        <v>3.2857142857142856</v>
      </c>
      <c r="M226" s="71">
        <f t="shared" si="91"/>
        <v>3.2307692307692308</v>
      </c>
      <c r="N226" s="73">
        <f t="shared" si="91"/>
        <v>3.8888888888888888</v>
      </c>
      <c r="O226" s="47">
        <f t="shared" si="91"/>
        <v>3.5858895705521472</v>
      </c>
    </row>
    <row r="227" spans="1:15" ht="15.75" thickBot="1" x14ac:dyDescent="0.3">
      <c r="A227" s="1"/>
      <c r="B227" s="38" t="s">
        <v>23</v>
      </c>
      <c r="C227" s="42">
        <f t="shared" ref="C227:N227" si="92">+IF(C221&gt;0,C221/C219,"")</f>
        <v>3</v>
      </c>
      <c r="D227" s="42">
        <f t="shared" si="92"/>
        <v>2.3636363636363638</v>
      </c>
      <c r="E227" s="42">
        <f t="shared" si="92"/>
        <v>2.7272727272727271</v>
      </c>
      <c r="F227" s="42">
        <f t="shared" si="92"/>
        <v>2.6363636363636362</v>
      </c>
      <c r="G227" s="42">
        <f t="shared" si="92"/>
        <v>2</v>
      </c>
      <c r="H227" s="42">
        <f t="shared" si="92"/>
        <v>2.3636363636363638</v>
      </c>
      <c r="I227" s="42">
        <f t="shared" si="92"/>
        <v>2.6363636363636362</v>
      </c>
      <c r="J227" s="42">
        <f t="shared" si="92"/>
        <v>1.9090909090909092</v>
      </c>
      <c r="K227" s="42">
        <f t="shared" si="92"/>
        <v>2.6363636363636362</v>
      </c>
      <c r="L227" s="42">
        <f t="shared" si="92"/>
        <v>2.5454545454545454</v>
      </c>
      <c r="M227" s="42">
        <f t="shared" si="92"/>
        <v>2.3636363636363638</v>
      </c>
      <c r="N227" s="46">
        <f t="shared" si="92"/>
        <v>2.4545454545454546</v>
      </c>
      <c r="O227" s="87">
        <f>+IF(O221&gt;0,AVERAGE(C221:N221)/O219,"")</f>
        <v>2.4696969696969697</v>
      </c>
    </row>
    <row r="228" spans="1:15" ht="15.75" thickBot="1" x14ac:dyDescent="0.3">
      <c r="A228" s="1"/>
      <c r="B228" s="38" t="s">
        <v>24</v>
      </c>
      <c r="C228" s="42">
        <f t="shared" ref="C228:O228" si="93">+IF(C221&gt;0,(C222-C225)/C221,"")</f>
        <v>7.8181818181818183</v>
      </c>
      <c r="D228" s="42">
        <f t="shared" si="93"/>
        <v>8.6923076923076916</v>
      </c>
      <c r="E228" s="42">
        <f t="shared" si="93"/>
        <v>7.8666666666666663</v>
      </c>
      <c r="F228" s="42">
        <f t="shared" si="93"/>
        <v>8.7241379310344822</v>
      </c>
      <c r="G228" s="42">
        <f t="shared" si="93"/>
        <v>11.409090909090908</v>
      </c>
      <c r="H228" s="42">
        <f t="shared" si="93"/>
        <v>9.3461538461538467</v>
      </c>
      <c r="I228" s="42">
        <f t="shared" si="93"/>
        <v>6.2758620689655169</v>
      </c>
      <c r="J228" s="42">
        <f t="shared" si="93"/>
        <v>11.428571428571429</v>
      </c>
      <c r="K228" s="42">
        <f t="shared" si="93"/>
        <v>7.6896551724137927</v>
      </c>
      <c r="L228" s="42">
        <f t="shared" si="93"/>
        <v>8.5</v>
      </c>
      <c r="M228" s="42">
        <f t="shared" si="93"/>
        <v>9.884615384615385</v>
      </c>
      <c r="N228" s="42">
        <f t="shared" si="93"/>
        <v>9</v>
      </c>
      <c r="O228" s="47">
        <f t="shared" si="93"/>
        <v>8.7423312883435589</v>
      </c>
    </row>
    <row r="229" spans="1:15" ht="15.75" thickBot="1" x14ac:dyDescent="0.3">
      <c r="A229" s="1"/>
      <c r="B229" s="38" t="s">
        <v>25</v>
      </c>
      <c r="C229" s="42">
        <f t="shared" ref="C229:O229" si="94">+IF(C225&gt;0,(C225/C222)*100,"")</f>
        <v>24.340175953079179</v>
      </c>
      <c r="D229" s="42">
        <f t="shared" si="94"/>
        <v>26.623376623376622</v>
      </c>
      <c r="E229" s="42">
        <f t="shared" si="94"/>
        <v>30.791788856304986</v>
      </c>
      <c r="F229" s="42">
        <f t="shared" si="94"/>
        <v>23.333333333333332</v>
      </c>
      <c r="G229" s="42">
        <f t="shared" si="94"/>
        <v>26.392961876832842</v>
      </c>
      <c r="H229" s="42">
        <f t="shared" si="94"/>
        <v>26.36363636363636</v>
      </c>
      <c r="I229" s="42">
        <f t="shared" si="94"/>
        <v>46.62756598240469</v>
      </c>
      <c r="J229" s="42">
        <f t="shared" si="94"/>
        <v>29.61876832844575</v>
      </c>
      <c r="K229" s="42">
        <f t="shared" si="94"/>
        <v>32.424242424242422</v>
      </c>
      <c r="L229" s="42">
        <f t="shared" si="94"/>
        <v>30.205278592375368</v>
      </c>
      <c r="M229" s="42">
        <f t="shared" si="94"/>
        <v>22.121212121212121</v>
      </c>
      <c r="N229" s="46">
        <f t="shared" si="94"/>
        <v>28.739002932551323</v>
      </c>
      <c r="O229" s="47">
        <f t="shared" si="94"/>
        <v>29.016189290161893</v>
      </c>
    </row>
    <row r="230" spans="1:15" ht="15.75" thickBot="1" x14ac:dyDescent="0.3">
      <c r="A230" s="1"/>
      <c r="B230" s="8" t="s">
        <v>26</v>
      </c>
      <c r="C230" s="41">
        <f>+SUM(C231:C232)</f>
        <v>0</v>
      </c>
      <c r="D230" s="41">
        <f t="shared" ref="D230:N230" si="95">+SUM(D231:D232)</f>
        <v>0</v>
      </c>
      <c r="E230" s="41">
        <f t="shared" si="95"/>
        <v>0</v>
      </c>
      <c r="F230" s="41">
        <f t="shared" si="95"/>
        <v>0</v>
      </c>
      <c r="G230" s="41">
        <f t="shared" si="95"/>
        <v>0</v>
      </c>
      <c r="H230" s="41">
        <f t="shared" si="95"/>
        <v>0</v>
      </c>
      <c r="I230" s="41">
        <f t="shared" si="95"/>
        <v>0</v>
      </c>
      <c r="J230" s="41">
        <f t="shared" si="95"/>
        <v>0</v>
      </c>
      <c r="K230" s="41">
        <f t="shared" si="95"/>
        <v>0</v>
      </c>
      <c r="L230" s="41">
        <f t="shared" si="95"/>
        <v>0</v>
      </c>
      <c r="M230" s="41">
        <f t="shared" si="95"/>
        <v>0</v>
      </c>
      <c r="N230" s="45">
        <f t="shared" si="95"/>
        <v>0</v>
      </c>
      <c r="O230" s="18">
        <f>+SUM(C230:N230)</f>
        <v>0</v>
      </c>
    </row>
    <row r="231" spans="1:15" ht="15.75" thickBot="1" x14ac:dyDescent="0.3">
      <c r="A231" s="1"/>
      <c r="B231" s="8" t="s">
        <v>52</v>
      </c>
      <c r="C231" s="32">
        <v>0</v>
      </c>
      <c r="D231" s="21">
        <v>0</v>
      </c>
      <c r="E231" s="21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3">
        <v>0</v>
      </c>
      <c r="O231" s="18">
        <f>+SUM(C231:N231)</f>
        <v>0</v>
      </c>
    </row>
    <row r="232" spans="1:15" ht="15.75" thickBot="1" x14ac:dyDescent="0.3">
      <c r="A232" s="1"/>
      <c r="B232" s="8" t="s">
        <v>53</v>
      </c>
      <c r="C232" s="32">
        <v>0</v>
      </c>
      <c r="D232" s="21">
        <v>0</v>
      </c>
      <c r="E232" s="21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3">
        <v>0</v>
      </c>
      <c r="O232" s="18">
        <f>+SUM(C232:N232)</f>
        <v>0</v>
      </c>
    </row>
    <row r="233" spans="1:15" ht="15.75" thickBot="1" x14ac:dyDescent="0.3">
      <c r="A233" s="1"/>
      <c r="B233" s="15" t="s">
        <v>31</v>
      </c>
      <c r="C233" s="25">
        <v>0</v>
      </c>
      <c r="D233" s="25">
        <v>0</v>
      </c>
      <c r="E233" s="25">
        <v>0</v>
      </c>
      <c r="F233" s="34">
        <v>0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34">
        <v>0</v>
      </c>
      <c r="M233" s="34">
        <v>0</v>
      </c>
      <c r="N233" s="35">
        <v>0</v>
      </c>
      <c r="O233" s="28">
        <f>+SUM(C233:N233)</f>
        <v>0</v>
      </c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22"/>
      <c r="H235" s="1"/>
      <c r="I235" s="1"/>
      <c r="J235" s="1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</sheetData>
  <mergeCells count="20">
    <mergeCell ref="C216:M216"/>
    <mergeCell ref="N216:O216"/>
    <mergeCell ref="C143:M143"/>
    <mergeCell ref="N143:O143"/>
    <mergeCell ref="C176:M176"/>
    <mergeCell ref="N176:O176"/>
    <mergeCell ref="C196:M196"/>
    <mergeCell ref="N196:O196"/>
    <mergeCell ref="C83:M83"/>
    <mergeCell ref="N83:O83"/>
    <mergeCell ref="C103:M103"/>
    <mergeCell ref="N103:O103"/>
    <mergeCell ref="C123:M123"/>
    <mergeCell ref="N123:O123"/>
    <mergeCell ref="C2:M2"/>
    <mergeCell ref="N2:O2"/>
    <mergeCell ref="C41:M41"/>
    <mergeCell ref="N41:O41"/>
    <mergeCell ref="C63:M63"/>
    <mergeCell ref="N63:O6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O235"/>
  <sheetViews>
    <sheetView tabSelected="1" workbookViewId="0">
      <selection activeCell="D21" sqref="D21"/>
    </sheetView>
  </sheetViews>
  <sheetFormatPr baseColWidth="10" defaultRowHeight="15" x14ac:dyDescent="0.25"/>
  <cols>
    <col min="1" max="1" width="3.42578125" customWidth="1"/>
    <col min="2" max="2" width="31.140625" bestFit="1" customWidth="1"/>
    <col min="3" max="14" width="9.5703125" customWidth="1"/>
  </cols>
  <sheetData>
    <row r="1" spans="2:15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1" thickBot="1" x14ac:dyDescent="0.3">
      <c r="B2" s="1"/>
      <c r="C2" s="196" t="s">
        <v>0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6">
        <v>2018</v>
      </c>
      <c r="O2" s="198"/>
    </row>
    <row r="3" spans="2:15" ht="15.75" thickBot="1" x14ac:dyDescent="0.3">
      <c r="B3" s="1"/>
      <c r="C3" s="39">
        <v>31</v>
      </c>
      <c r="D3" s="39">
        <v>28</v>
      </c>
      <c r="E3" s="39">
        <v>31</v>
      </c>
      <c r="F3" s="39">
        <v>30</v>
      </c>
      <c r="G3" s="39">
        <v>31</v>
      </c>
      <c r="H3" s="39">
        <v>30</v>
      </c>
      <c r="I3" s="39">
        <v>31</v>
      </c>
      <c r="J3" s="39">
        <v>31</v>
      </c>
      <c r="K3" s="39">
        <v>30</v>
      </c>
      <c r="L3" s="39">
        <v>31</v>
      </c>
      <c r="M3" s="39">
        <v>30</v>
      </c>
      <c r="N3" s="39">
        <v>31</v>
      </c>
      <c r="O3" s="86"/>
    </row>
    <row r="4" spans="2:15" ht="15.75" thickBot="1" x14ac:dyDescent="0.3">
      <c r="B4" s="5"/>
      <c r="C4" s="83" t="s">
        <v>1</v>
      </c>
      <c r="D4" s="84" t="s">
        <v>2</v>
      </c>
      <c r="E4" s="84" t="s">
        <v>3</v>
      </c>
      <c r="F4" s="84" t="s">
        <v>4</v>
      </c>
      <c r="G4" s="84" t="s">
        <v>5</v>
      </c>
      <c r="H4" s="84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5" t="s">
        <v>12</v>
      </c>
      <c r="O4" s="19" t="s">
        <v>13</v>
      </c>
    </row>
    <row r="5" spans="2:15" ht="15.75" thickBot="1" x14ac:dyDescent="0.3">
      <c r="B5" s="59" t="s">
        <v>14</v>
      </c>
      <c r="C5" s="63">
        <v>163</v>
      </c>
      <c r="D5" s="72">
        <v>163</v>
      </c>
      <c r="E5" s="72">
        <v>164</v>
      </c>
      <c r="F5" s="72">
        <v>161</v>
      </c>
      <c r="G5" s="72">
        <v>161</v>
      </c>
      <c r="H5" s="72">
        <v>164</v>
      </c>
      <c r="I5" s="72">
        <v>161</v>
      </c>
      <c r="J5" s="72">
        <v>0</v>
      </c>
      <c r="K5" s="72">
        <v>0</v>
      </c>
      <c r="L5" s="72">
        <v>0</v>
      </c>
      <c r="M5" s="72">
        <v>0</v>
      </c>
      <c r="N5" s="102">
        <v>0</v>
      </c>
      <c r="O5" s="88">
        <v>94.75</v>
      </c>
    </row>
    <row r="6" spans="2:15" ht="15.75" thickBot="1" x14ac:dyDescent="0.3">
      <c r="B6" s="60" t="s">
        <v>15</v>
      </c>
      <c r="C6" s="20">
        <v>848</v>
      </c>
      <c r="D6" s="21">
        <v>800</v>
      </c>
      <c r="E6" s="21">
        <v>760</v>
      </c>
      <c r="F6" s="21">
        <v>796</v>
      </c>
      <c r="G6" s="21">
        <v>820</v>
      </c>
      <c r="H6" s="21">
        <v>790</v>
      </c>
      <c r="I6" s="21">
        <v>815</v>
      </c>
      <c r="J6" s="21">
        <v>0</v>
      </c>
      <c r="K6" s="21">
        <v>0</v>
      </c>
      <c r="L6" s="21">
        <v>0</v>
      </c>
      <c r="M6" s="21">
        <v>0</v>
      </c>
      <c r="N6" s="103">
        <v>0</v>
      </c>
      <c r="O6" s="16">
        <v>5629</v>
      </c>
    </row>
    <row r="7" spans="2:15" ht="15.75" thickBot="1" x14ac:dyDescent="0.3">
      <c r="B7" s="60" t="s">
        <v>16</v>
      </c>
      <c r="C7" s="20">
        <v>810</v>
      </c>
      <c r="D7" s="21">
        <v>812</v>
      </c>
      <c r="E7" s="21">
        <v>766</v>
      </c>
      <c r="F7" s="21">
        <v>786</v>
      </c>
      <c r="G7" s="21">
        <v>808</v>
      </c>
      <c r="H7" s="21">
        <v>800</v>
      </c>
      <c r="I7" s="21">
        <v>822</v>
      </c>
      <c r="J7" s="21">
        <v>0</v>
      </c>
      <c r="K7" s="21">
        <v>0</v>
      </c>
      <c r="L7" s="21">
        <v>0</v>
      </c>
      <c r="M7" s="21">
        <v>0</v>
      </c>
      <c r="N7" s="103">
        <v>0</v>
      </c>
      <c r="O7" s="16">
        <v>5604</v>
      </c>
    </row>
    <row r="8" spans="2:15" ht="15.75" thickBot="1" x14ac:dyDescent="0.3">
      <c r="B8" s="59" t="s">
        <v>17</v>
      </c>
      <c r="C8" s="64">
        <v>5053</v>
      </c>
      <c r="D8" s="43">
        <v>4564</v>
      </c>
      <c r="E8" s="43">
        <v>5084</v>
      </c>
      <c r="F8" s="43">
        <v>4830</v>
      </c>
      <c r="G8" s="43">
        <v>4991</v>
      </c>
      <c r="H8" s="43">
        <v>4920</v>
      </c>
      <c r="I8" s="43">
        <v>4991</v>
      </c>
      <c r="J8" s="43">
        <v>0</v>
      </c>
      <c r="K8" s="43">
        <v>0</v>
      </c>
      <c r="L8" s="43">
        <v>0</v>
      </c>
      <c r="M8" s="43">
        <v>0</v>
      </c>
      <c r="N8" s="90">
        <v>0</v>
      </c>
      <c r="O8" s="16">
        <v>34433</v>
      </c>
    </row>
    <row r="9" spans="2:15" ht="15.75" thickBot="1" x14ac:dyDescent="0.3">
      <c r="B9" s="59" t="s">
        <v>18</v>
      </c>
      <c r="C9" s="20">
        <v>2726</v>
      </c>
      <c r="D9" s="21">
        <v>2557</v>
      </c>
      <c r="E9" s="21">
        <v>2308</v>
      </c>
      <c r="F9" s="21">
        <v>2468</v>
      </c>
      <c r="G9" s="21">
        <v>2454</v>
      </c>
      <c r="H9" s="21">
        <v>2588</v>
      </c>
      <c r="I9" s="21">
        <v>2672</v>
      </c>
      <c r="J9" s="21">
        <v>0</v>
      </c>
      <c r="K9" s="21">
        <v>0</v>
      </c>
      <c r="L9" s="21">
        <v>0</v>
      </c>
      <c r="M9" s="21">
        <v>0</v>
      </c>
      <c r="N9" s="103">
        <v>0</v>
      </c>
      <c r="O9" s="16">
        <v>17773</v>
      </c>
    </row>
    <row r="10" spans="2:15" ht="15.75" thickBot="1" x14ac:dyDescent="0.3">
      <c r="B10" s="59" t="s">
        <v>19</v>
      </c>
      <c r="C10" s="20">
        <v>3049</v>
      </c>
      <c r="D10" s="21">
        <v>3125</v>
      </c>
      <c r="E10" s="21">
        <v>2589</v>
      </c>
      <c r="F10" s="21">
        <v>2934</v>
      </c>
      <c r="G10" s="21">
        <v>2847</v>
      </c>
      <c r="H10" s="21">
        <v>2990</v>
      </c>
      <c r="I10" s="21">
        <v>3531</v>
      </c>
      <c r="J10" s="21">
        <v>0</v>
      </c>
      <c r="K10" s="21">
        <v>0</v>
      </c>
      <c r="L10" s="21">
        <v>0</v>
      </c>
      <c r="M10" s="21">
        <v>0</v>
      </c>
      <c r="N10" s="103">
        <v>0</v>
      </c>
      <c r="O10" s="16">
        <v>21065</v>
      </c>
    </row>
    <row r="11" spans="2:15" ht="15.75" thickBot="1" x14ac:dyDescent="0.3">
      <c r="B11" s="59" t="s">
        <v>20</v>
      </c>
      <c r="C11" s="79">
        <v>3221</v>
      </c>
      <c r="D11" s="76">
        <v>2771</v>
      </c>
      <c r="E11" s="76">
        <v>2799</v>
      </c>
      <c r="F11" s="76">
        <v>2927</v>
      </c>
      <c r="G11" s="76">
        <v>2869</v>
      </c>
      <c r="H11" s="76">
        <v>3134</v>
      </c>
      <c r="I11" s="76">
        <v>3013</v>
      </c>
      <c r="J11" s="76">
        <v>0</v>
      </c>
      <c r="K11" s="76">
        <v>0</v>
      </c>
      <c r="L11" s="76">
        <v>0</v>
      </c>
      <c r="M11" s="76">
        <v>0</v>
      </c>
      <c r="N11" s="78">
        <v>0</v>
      </c>
      <c r="O11" s="107">
        <v>20734</v>
      </c>
    </row>
    <row r="12" spans="2:15" ht="15.75" thickBot="1" x14ac:dyDescent="0.3">
      <c r="B12" s="61" t="s">
        <v>21</v>
      </c>
      <c r="C12" s="70">
        <v>3.365432098765432</v>
      </c>
      <c r="D12" s="71">
        <v>3.1490147783251232</v>
      </c>
      <c r="E12" s="71">
        <v>3.0130548302872064</v>
      </c>
      <c r="F12" s="71">
        <v>3.1399491094147582</v>
      </c>
      <c r="G12" s="71">
        <v>3.0371287128712869</v>
      </c>
      <c r="H12" s="71">
        <v>3.2349999999999999</v>
      </c>
      <c r="I12" s="71">
        <v>3.2506082725060828</v>
      </c>
      <c r="J12" s="71" t="s">
        <v>22</v>
      </c>
      <c r="K12" s="71" t="s">
        <v>22</v>
      </c>
      <c r="L12" s="71" t="s">
        <v>22</v>
      </c>
      <c r="M12" s="71" t="s">
        <v>22</v>
      </c>
      <c r="N12" s="68" t="s">
        <v>22</v>
      </c>
      <c r="O12" s="69">
        <v>3.1714846538187009</v>
      </c>
    </row>
    <row r="13" spans="2:15" ht="15.75" thickBot="1" x14ac:dyDescent="0.3">
      <c r="B13" s="61" t="s">
        <v>23</v>
      </c>
      <c r="C13" s="70">
        <v>4.9693251533742329</v>
      </c>
      <c r="D13" s="71">
        <v>4.9815950920245395</v>
      </c>
      <c r="E13" s="71">
        <v>4.6707317073170733</v>
      </c>
      <c r="F13" s="71">
        <v>4.8819875776397517</v>
      </c>
      <c r="G13" s="71">
        <v>5.0186335403726705</v>
      </c>
      <c r="H13" s="71">
        <v>4.8780487804878048</v>
      </c>
      <c r="I13" s="71">
        <v>5.1055900621118013</v>
      </c>
      <c r="J13" s="71" t="s">
        <v>22</v>
      </c>
      <c r="K13" s="71" t="s">
        <v>22</v>
      </c>
      <c r="L13" s="71" t="s">
        <v>22</v>
      </c>
      <c r="M13" s="71" t="s">
        <v>22</v>
      </c>
      <c r="N13" s="68" t="s">
        <v>22</v>
      </c>
      <c r="O13" s="87">
        <v>4.9287598944591027</v>
      </c>
    </row>
    <row r="14" spans="2:15" ht="15.75" thickBot="1" x14ac:dyDescent="0.3">
      <c r="B14" s="61" t="s">
        <v>24</v>
      </c>
      <c r="C14" s="70">
        <v>2.2617283950617284</v>
      </c>
      <c r="D14" s="71">
        <v>2.208128078817734</v>
      </c>
      <c r="E14" s="71">
        <v>2.9830287206266317</v>
      </c>
      <c r="F14" s="71">
        <v>2.4211195928753182</v>
      </c>
      <c r="G14" s="71">
        <v>2.6262376237623761</v>
      </c>
      <c r="H14" s="71">
        <v>2.2324999999999999</v>
      </c>
      <c r="I14" s="71">
        <v>2.4063260340632602</v>
      </c>
      <c r="J14" s="71" t="s">
        <v>22</v>
      </c>
      <c r="K14" s="71" t="s">
        <v>22</v>
      </c>
      <c r="L14" s="71" t="s">
        <v>22</v>
      </c>
      <c r="M14" s="71" t="s">
        <v>22</v>
      </c>
      <c r="N14" s="68" t="s">
        <v>22</v>
      </c>
      <c r="O14" s="69">
        <v>2.4445039257673091</v>
      </c>
    </row>
    <row r="15" spans="2:15" ht="15.75" thickBot="1" x14ac:dyDescent="0.3">
      <c r="B15" s="38" t="s">
        <v>25</v>
      </c>
      <c r="C15" s="101">
        <v>0.63744310310706509</v>
      </c>
      <c r="D15" s="100">
        <v>0.6071428571428571</v>
      </c>
      <c r="E15" s="100">
        <v>0.55055074744295829</v>
      </c>
      <c r="F15" s="100">
        <v>0.60600414078674947</v>
      </c>
      <c r="G15" s="100">
        <v>0.57483470246443602</v>
      </c>
      <c r="H15" s="100">
        <v>0.63699186991869916</v>
      </c>
      <c r="I15" s="100">
        <v>0.60368663594470051</v>
      </c>
      <c r="J15" s="100" t="s">
        <v>22</v>
      </c>
      <c r="K15" s="100" t="s">
        <v>22</v>
      </c>
      <c r="L15" s="100" t="s">
        <v>22</v>
      </c>
      <c r="M15" s="100" t="s">
        <v>22</v>
      </c>
      <c r="N15" s="104" t="s">
        <v>22</v>
      </c>
      <c r="O15" s="69">
        <v>60.21549095344583</v>
      </c>
    </row>
    <row r="16" spans="2:15" ht="15.75" thickBot="1" x14ac:dyDescent="0.3">
      <c r="B16" s="59" t="s">
        <v>26</v>
      </c>
      <c r="C16" s="64">
        <v>22</v>
      </c>
      <c r="D16" s="43">
        <v>18</v>
      </c>
      <c r="E16" s="43">
        <v>21</v>
      </c>
      <c r="F16" s="43">
        <v>13</v>
      </c>
      <c r="G16" s="43">
        <v>22</v>
      </c>
      <c r="H16" s="43">
        <v>16</v>
      </c>
      <c r="I16" s="43">
        <v>24</v>
      </c>
      <c r="J16" s="43">
        <v>0</v>
      </c>
      <c r="K16" s="43">
        <v>0</v>
      </c>
      <c r="L16" s="43">
        <v>0</v>
      </c>
      <c r="M16" s="43">
        <v>0</v>
      </c>
      <c r="N16" s="90">
        <v>0</v>
      </c>
      <c r="O16" s="16">
        <v>136</v>
      </c>
    </row>
    <row r="17" spans="2:15" ht="15.75" thickBot="1" x14ac:dyDescent="0.3">
      <c r="B17" s="59" t="s">
        <v>27</v>
      </c>
      <c r="C17" s="22">
        <v>14</v>
      </c>
      <c r="D17" s="23">
        <v>10</v>
      </c>
      <c r="E17" s="23">
        <v>14</v>
      </c>
      <c r="F17" s="23">
        <v>7</v>
      </c>
      <c r="G17" s="23">
        <v>12</v>
      </c>
      <c r="H17" s="23">
        <v>11</v>
      </c>
      <c r="I17" s="23">
        <v>14</v>
      </c>
      <c r="J17" s="23">
        <v>0</v>
      </c>
      <c r="K17" s="23">
        <v>0</v>
      </c>
      <c r="L17" s="23">
        <v>0</v>
      </c>
      <c r="M17" s="23">
        <v>0</v>
      </c>
      <c r="N17" s="105">
        <v>0</v>
      </c>
      <c r="O17" s="16">
        <v>82</v>
      </c>
    </row>
    <row r="18" spans="2:15" ht="15.75" thickBot="1" x14ac:dyDescent="0.3">
      <c r="B18" s="59" t="s">
        <v>28</v>
      </c>
      <c r="C18" s="22">
        <v>8</v>
      </c>
      <c r="D18" s="23">
        <v>8</v>
      </c>
      <c r="E18" s="23">
        <v>7</v>
      </c>
      <c r="F18" s="23">
        <v>6</v>
      </c>
      <c r="G18" s="23">
        <v>10</v>
      </c>
      <c r="H18" s="23">
        <v>5</v>
      </c>
      <c r="I18" s="23">
        <v>10</v>
      </c>
      <c r="J18" s="23">
        <v>0</v>
      </c>
      <c r="K18" s="23">
        <v>0</v>
      </c>
      <c r="L18" s="23">
        <v>0</v>
      </c>
      <c r="M18" s="23">
        <v>0</v>
      </c>
      <c r="N18" s="105">
        <v>0</v>
      </c>
      <c r="O18" s="16">
        <v>54</v>
      </c>
    </row>
    <row r="19" spans="2:15" ht="15.75" thickBot="1" x14ac:dyDescent="0.3">
      <c r="B19" s="61" t="s">
        <v>29</v>
      </c>
      <c r="C19" s="70">
        <v>2.7160493827160495</v>
      </c>
      <c r="D19" s="71">
        <v>2.2167487684729066</v>
      </c>
      <c r="E19" s="71">
        <v>2.7415143603133161</v>
      </c>
      <c r="F19" s="71">
        <v>1.6539440203562339</v>
      </c>
      <c r="G19" s="71">
        <v>2.722772277227723</v>
      </c>
      <c r="H19" s="71">
        <v>2</v>
      </c>
      <c r="I19" s="71">
        <v>2.9197080291970803</v>
      </c>
      <c r="J19" s="71" t="s">
        <v>22</v>
      </c>
      <c r="K19" s="71" t="s">
        <v>22</v>
      </c>
      <c r="L19" s="71" t="s">
        <v>22</v>
      </c>
      <c r="M19" s="71" t="s">
        <v>22</v>
      </c>
      <c r="N19" s="68" t="s">
        <v>22</v>
      </c>
      <c r="O19" s="69">
        <v>2.426837972876517</v>
      </c>
    </row>
    <row r="20" spans="2:15" ht="15.75" thickBot="1" x14ac:dyDescent="0.3">
      <c r="B20" s="61" t="s">
        <v>30</v>
      </c>
      <c r="C20" s="70">
        <v>1.728395061728395</v>
      </c>
      <c r="D20" s="71">
        <v>1.2315270935960592</v>
      </c>
      <c r="E20" s="71">
        <v>1.8276762402088773</v>
      </c>
      <c r="F20" s="71">
        <v>0.89058524173027986</v>
      </c>
      <c r="G20" s="71">
        <v>1.4851485148514851</v>
      </c>
      <c r="H20" s="71">
        <v>1.375</v>
      </c>
      <c r="I20" s="71">
        <v>1.7031630170316301</v>
      </c>
      <c r="J20" s="71" t="s">
        <v>22</v>
      </c>
      <c r="K20" s="71" t="s">
        <v>22</v>
      </c>
      <c r="L20" s="71" t="s">
        <v>22</v>
      </c>
      <c r="M20" s="71" t="s">
        <v>22</v>
      </c>
      <c r="N20" s="68" t="s">
        <v>22</v>
      </c>
      <c r="O20" s="69">
        <v>1.4632405424696646</v>
      </c>
    </row>
    <row r="21" spans="2:15" ht="15.75" thickBot="1" x14ac:dyDescent="0.3">
      <c r="B21" s="59" t="s">
        <v>31</v>
      </c>
      <c r="C21" s="22">
        <v>5</v>
      </c>
      <c r="D21" s="23">
        <v>4</v>
      </c>
      <c r="E21" s="23">
        <v>2</v>
      </c>
      <c r="F21" s="23">
        <v>2</v>
      </c>
      <c r="G21" s="23">
        <v>2</v>
      </c>
      <c r="H21" s="23">
        <v>2</v>
      </c>
      <c r="I21" s="23">
        <v>4</v>
      </c>
      <c r="J21" s="23">
        <v>0</v>
      </c>
      <c r="K21" s="23">
        <v>0</v>
      </c>
      <c r="L21" s="23">
        <v>0</v>
      </c>
      <c r="M21" s="23">
        <v>0</v>
      </c>
      <c r="N21" s="105">
        <v>0</v>
      </c>
      <c r="O21" s="16">
        <v>21</v>
      </c>
    </row>
    <row r="22" spans="2:15" ht="15.75" thickBot="1" x14ac:dyDescent="0.3">
      <c r="B22" s="61" t="s">
        <v>32</v>
      </c>
      <c r="C22" s="70">
        <v>0.61728395061728392</v>
      </c>
      <c r="D22" s="71">
        <v>0.49261083743842365</v>
      </c>
      <c r="E22" s="71">
        <v>0.26109660574412535</v>
      </c>
      <c r="F22" s="71">
        <v>0.2544529262086514</v>
      </c>
      <c r="G22" s="71">
        <v>0.24752475247524752</v>
      </c>
      <c r="H22" s="71">
        <v>0.25</v>
      </c>
      <c r="I22" s="71">
        <v>0.48661800486618007</v>
      </c>
      <c r="J22" s="71" t="s">
        <v>22</v>
      </c>
      <c r="K22" s="71" t="s">
        <v>22</v>
      </c>
      <c r="L22" s="71" t="s">
        <v>22</v>
      </c>
      <c r="M22" s="71" t="s">
        <v>22</v>
      </c>
      <c r="N22" s="68" t="s">
        <v>22</v>
      </c>
      <c r="O22" s="69">
        <v>0.37473233404710921</v>
      </c>
    </row>
    <row r="23" spans="2:15" ht="15.75" thickBot="1" x14ac:dyDescent="0.3">
      <c r="B23" s="59" t="s">
        <v>33</v>
      </c>
      <c r="C23" s="22">
        <v>282</v>
      </c>
      <c r="D23" s="23">
        <v>245</v>
      </c>
      <c r="E23" s="23">
        <v>257</v>
      </c>
      <c r="F23" s="23">
        <v>259</v>
      </c>
      <c r="G23" s="23">
        <v>261</v>
      </c>
      <c r="H23" s="23">
        <v>252</v>
      </c>
      <c r="I23" s="23">
        <v>264</v>
      </c>
      <c r="J23" s="23">
        <v>0</v>
      </c>
      <c r="K23" s="23">
        <v>0</v>
      </c>
      <c r="L23" s="23">
        <v>0</v>
      </c>
      <c r="M23" s="23">
        <v>0</v>
      </c>
      <c r="N23" s="105">
        <v>0</v>
      </c>
      <c r="O23" s="16">
        <v>1820</v>
      </c>
    </row>
    <row r="24" spans="2:15" ht="15.75" thickBot="1" x14ac:dyDescent="0.3">
      <c r="B24" s="59" t="s">
        <v>34</v>
      </c>
      <c r="C24" s="22">
        <v>283</v>
      </c>
      <c r="D24" s="23">
        <v>245</v>
      </c>
      <c r="E24" s="23">
        <v>258</v>
      </c>
      <c r="F24" s="23">
        <v>258</v>
      </c>
      <c r="G24" s="23">
        <v>263</v>
      </c>
      <c r="H24" s="23">
        <v>250</v>
      </c>
      <c r="I24" s="23">
        <v>266</v>
      </c>
      <c r="J24" s="23">
        <v>0</v>
      </c>
      <c r="K24" s="23">
        <v>0</v>
      </c>
      <c r="L24" s="23">
        <v>0</v>
      </c>
      <c r="M24" s="23">
        <v>0</v>
      </c>
      <c r="N24" s="105">
        <v>0</v>
      </c>
      <c r="O24" s="16">
        <v>1823</v>
      </c>
    </row>
    <row r="25" spans="2:15" ht="15.75" thickBot="1" x14ac:dyDescent="0.3">
      <c r="B25" s="59" t="s">
        <v>35</v>
      </c>
      <c r="C25" s="22">
        <v>54</v>
      </c>
      <c r="D25" s="23">
        <v>43</v>
      </c>
      <c r="E25" s="23">
        <v>50</v>
      </c>
      <c r="F25" s="23">
        <v>43</v>
      </c>
      <c r="G25" s="23">
        <v>51</v>
      </c>
      <c r="H25" s="23">
        <v>44</v>
      </c>
      <c r="I25" s="23">
        <v>46</v>
      </c>
      <c r="J25" s="23">
        <v>0</v>
      </c>
      <c r="K25" s="23">
        <v>0</v>
      </c>
      <c r="L25" s="23">
        <v>0</v>
      </c>
      <c r="M25" s="23">
        <v>0</v>
      </c>
      <c r="N25" s="105">
        <v>0</v>
      </c>
      <c r="O25" s="16">
        <v>331</v>
      </c>
    </row>
    <row r="26" spans="2:15" ht="15.75" thickBot="1" x14ac:dyDescent="0.3">
      <c r="B26" s="60" t="s">
        <v>36</v>
      </c>
      <c r="C26" s="22">
        <v>124</v>
      </c>
      <c r="D26" s="23">
        <v>83</v>
      </c>
      <c r="E26" s="23">
        <v>93</v>
      </c>
      <c r="F26" s="23">
        <v>93</v>
      </c>
      <c r="G26" s="23">
        <v>98</v>
      </c>
      <c r="H26" s="23">
        <v>94</v>
      </c>
      <c r="I26" s="23">
        <v>107</v>
      </c>
      <c r="J26" s="23">
        <v>0</v>
      </c>
      <c r="K26" s="23">
        <v>0</v>
      </c>
      <c r="L26" s="23">
        <v>0</v>
      </c>
      <c r="M26" s="23">
        <v>0</v>
      </c>
      <c r="N26" s="105">
        <v>0</v>
      </c>
      <c r="O26" s="16">
        <v>692</v>
      </c>
    </row>
    <row r="27" spans="2:15" ht="15.75" thickBot="1" x14ac:dyDescent="0.3">
      <c r="B27" s="60" t="s">
        <v>37</v>
      </c>
      <c r="C27" s="22">
        <v>52</v>
      </c>
      <c r="D27" s="23">
        <v>41</v>
      </c>
      <c r="E27" s="23">
        <v>49</v>
      </c>
      <c r="F27" s="23">
        <v>38</v>
      </c>
      <c r="G27" s="23">
        <v>49</v>
      </c>
      <c r="H27" s="23">
        <v>40</v>
      </c>
      <c r="I27" s="23">
        <v>44</v>
      </c>
      <c r="J27" s="23">
        <v>0</v>
      </c>
      <c r="K27" s="23">
        <v>0</v>
      </c>
      <c r="L27" s="23">
        <v>0</v>
      </c>
      <c r="M27" s="23">
        <v>0</v>
      </c>
      <c r="N27" s="105">
        <v>0</v>
      </c>
      <c r="O27" s="16">
        <v>313</v>
      </c>
    </row>
    <row r="28" spans="2:15" ht="15.75" thickBot="1" x14ac:dyDescent="0.3">
      <c r="B28" s="60" t="s">
        <v>38</v>
      </c>
      <c r="C28" s="22">
        <v>2</v>
      </c>
      <c r="D28" s="23">
        <v>2</v>
      </c>
      <c r="E28" s="23">
        <v>1</v>
      </c>
      <c r="F28" s="23">
        <v>5</v>
      </c>
      <c r="G28" s="23">
        <v>2</v>
      </c>
      <c r="H28" s="23">
        <v>4</v>
      </c>
      <c r="I28" s="23">
        <v>2</v>
      </c>
      <c r="J28" s="23">
        <v>0</v>
      </c>
      <c r="K28" s="23">
        <v>0</v>
      </c>
      <c r="L28" s="23">
        <v>0</v>
      </c>
      <c r="M28" s="23">
        <v>0</v>
      </c>
      <c r="N28" s="105">
        <v>0</v>
      </c>
      <c r="O28" s="16">
        <v>18</v>
      </c>
    </row>
    <row r="29" spans="2:15" ht="15.75" thickBot="1" x14ac:dyDescent="0.3">
      <c r="B29" s="60" t="s">
        <v>39</v>
      </c>
      <c r="C29" s="22">
        <v>2</v>
      </c>
      <c r="D29" s="23">
        <v>6</v>
      </c>
      <c r="E29" s="23">
        <v>6</v>
      </c>
      <c r="F29" s="23">
        <v>6</v>
      </c>
      <c r="G29" s="23">
        <v>3</v>
      </c>
      <c r="H29" s="23">
        <v>6</v>
      </c>
      <c r="I29" s="23">
        <v>5</v>
      </c>
      <c r="J29" s="23">
        <v>0</v>
      </c>
      <c r="K29" s="23">
        <v>0</v>
      </c>
      <c r="L29" s="23">
        <v>0</v>
      </c>
      <c r="M29" s="23">
        <v>0</v>
      </c>
      <c r="N29" s="105">
        <v>0</v>
      </c>
      <c r="O29" s="16">
        <v>34</v>
      </c>
    </row>
    <row r="30" spans="2:15" ht="15.75" thickBot="1" x14ac:dyDescent="0.3">
      <c r="B30" s="60" t="s">
        <v>40</v>
      </c>
      <c r="C30" s="22">
        <v>156</v>
      </c>
      <c r="D30" s="23">
        <v>156</v>
      </c>
      <c r="E30" s="23">
        <v>158</v>
      </c>
      <c r="F30" s="23">
        <v>160</v>
      </c>
      <c r="G30" s="23">
        <v>160</v>
      </c>
      <c r="H30" s="23">
        <v>152</v>
      </c>
      <c r="I30" s="23">
        <v>152</v>
      </c>
      <c r="J30" s="23">
        <v>0</v>
      </c>
      <c r="K30" s="23">
        <v>0</v>
      </c>
      <c r="L30" s="23">
        <v>0</v>
      </c>
      <c r="M30" s="23">
        <v>0</v>
      </c>
      <c r="N30" s="105">
        <v>0</v>
      </c>
      <c r="O30" s="16">
        <v>1094</v>
      </c>
    </row>
    <row r="31" spans="2:15" ht="15.75" thickBot="1" x14ac:dyDescent="0.3">
      <c r="B31" s="60" t="s">
        <v>41</v>
      </c>
      <c r="C31" s="22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105">
        <v>0</v>
      </c>
      <c r="O31" s="16">
        <v>0</v>
      </c>
    </row>
    <row r="32" spans="2:15" ht="15.75" thickBot="1" x14ac:dyDescent="0.3">
      <c r="B32" s="60" t="s">
        <v>42</v>
      </c>
      <c r="C32" s="22">
        <v>19</v>
      </c>
      <c r="D32" s="23">
        <v>17</v>
      </c>
      <c r="E32" s="23">
        <v>17</v>
      </c>
      <c r="F32" s="23">
        <v>21</v>
      </c>
      <c r="G32" s="23">
        <v>13</v>
      </c>
      <c r="H32" s="23">
        <v>13</v>
      </c>
      <c r="I32" s="23">
        <v>13</v>
      </c>
      <c r="J32" s="23">
        <v>0</v>
      </c>
      <c r="K32" s="23">
        <v>0</v>
      </c>
      <c r="L32" s="23">
        <v>0</v>
      </c>
      <c r="M32" s="23">
        <v>0</v>
      </c>
      <c r="N32" s="105">
        <v>0</v>
      </c>
      <c r="O32" s="16">
        <v>113</v>
      </c>
    </row>
    <row r="33" spans="2:15" ht="15.75" thickBot="1" x14ac:dyDescent="0.3">
      <c r="B33" s="60" t="s">
        <v>43</v>
      </c>
      <c r="C33" s="22">
        <v>0</v>
      </c>
      <c r="D33" s="23">
        <v>1</v>
      </c>
      <c r="E33" s="23">
        <v>4</v>
      </c>
      <c r="F33" s="23">
        <v>0</v>
      </c>
      <c r="G33" s="23">
        <v>3</v>
      </c>
      <c r="H33" s="23">
        <v>3</v>
      </c>
      <c r="I33" s="23">
        <v>1</v>
      </c>
      <c r="J33" s="23">
        <v>0</v>
      </c>
      <c r="K33" s="23">
        <v>0</v>
      </c>
      <c r="L33" s="23">
        <v>0</v>
      </c>
      <c r="M33" s="23">
        <v>0</v>
      </c>
      <c r="N33" s="105">
        <v>0</v>
      </c>
      <c r="O33" s="16">
        <v>12</v>
      </c>
    </row>
    <row r="34" spans="2:15" ht="15.75" thickBot="1" x14ac:dyDescent="0.3">
      <c r="B34" s="60" t="s">
        <v>44</v>
      </c>
      <c r="C34" s="22">
        <v>1</v>
      </c>
      <c r="D34" s="23">
        <v>2</v>
      </c>
      <c r="E34" s="23">
        <v>1</v>
      </c>
      <c r="F34" s="23">
        <v>2</v>
      </c>
      <c r="G34" s="23">
        <v>3</v>
      </c>
      <c r="H34" s="23">
        <v>3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105">
        <v>0</v>
      </c>
      <c r="O34" s="16">
        <v>12</v>
      </c>
    </row>
    <row r="35" spans="2:15" ht="15.75" thickBot="1" x14ac:dyDescent="0.3">
      <c r="B35" s="60" t="s">
        <v>45</v>
      </c>
      <c r="C35" s="7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1</v>
      </c>
      <c r="J35" s="54">
        <v>0</v>
      </c>
      <c r="K35" s="54">
        <v>0</v>
      </c>
      <c r="L35" s="54">
        <v>0</v>
      </c>
      <c r="M35" s="54">
        <v>0</v>
      </c>
      <c r="N35" s="106">
        <v>0</v>
      </c>
      <c r="O35" s="17">
        <v>1</v>
      </c>
    </row>
    <row r="36" spans="2:1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x14ac:dyDescent="0.25">
      <c r="B37" s="6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4" t="s">
        <v>47</v>
      </c>
      <c r="M37" s="1"/>
      <c r="N37" s="1"/>
      <c r="O37" s="1"/>
    </row>
    <row r="38" spans="2:15" x14ac:dyDescent="0.25">
      <c r="B38" s="6" t="s">
        <v>48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ht="15.75" thickBot="1" x14ac:dyDescent="0.3"/>
    <row r="40" spans="2:15" ht="16.5" thickBot="1" x14ac:dyDescent="0.3">
      <c r="B40" s="1"/>
      <c r="C40" s="199" t="s">
        <v>49</v>
      </c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199">
        <v>2018</v>
      </c>
      <c r="O40" s="201"/>
    </row>
    <row r="41" spans="2:15" ht="15.75" thickBot="1" x14ac:dyDescent="0.3">
      <c r="B41" s="7"/>
      <c r="C41" s="39">
        <v>31</v>
      </c>
      <c r="D41" s="39">
        <v>28</v>
      </c>
      <c r="E41" s="39">
        <v>31</v>
      </c>
      <c r="F41" s="39">
        <v>30</v>
      </c>
      <c r="G41" s="39">
        <v>31</v>
      </c>
      <c r="H41" s="39">
        <v>30</v>
      </c>
      <c r="I41" s="39">
        <v>31</v>
      </c>
      <c r="J41" s="39">
        <v>31</v>
      </c>
      <c r="K41" s="39">
        <v>30</v>
      </c>
      <c r="L41" s="39">
        <v>31</v>
      </c>
      <c r="M41" s="39">
        <v>30</v>
      </c>
      <c r="N41" s="39">
        <v>31</v>
      </c>
      <c r="O41" s="86"/>
    </row>
    <row r="42" spans="2:15" ht="21.75" thickBot="1" x14ac:dyDescent="0.3">
      <c r="B42" s="10" t="s">
        <v>50</v>
      </c>
      <c r="C42" s="11" t="s">
        <v>1</v>
      </c>
      <c r="D42" s="12" t="s">
        <v>2</v>
      </c>
      <c r="E42" s="12" t="s">
        <v>3</v>
      </c>
      <c r="F42" s="12" t="s">
        <v>4</v>
      </c>
      <c r="G42" s="12" t="s">
        <v>5</v>
      </c>
      <c r="H42" s="12" t="s">
        <v>6</v>
      </c>
      <c r="I42" s="12" t="s">
        <v>7</v>
      </c>
      <c r="J42" s="12" t="s">
        <v>8</v>
      </c>
      <c r="K42" s="13" t="s">
        <v>9</v>
      </c>
      <c r="L42" s="13" t="s">
        <v>10</v>
      </c>
      <c r="M42" s="13" t="s">
        <v>11</v>
      </c>
      <c r="N42" s="26" t="s">
        <v>12</v>
      </c>
      <c r="O42" s="27" t="s">
        <v>13</v>
      </c>
    </row>
    <row r="43" spans="2:15" ht="15.75" thickBot="1" x14ac:dyDescent="0.3">
      <c r="B43" s="8" t="s">
        <v>14</v>
      </c>
      <c r="C43" s="44">
        <v>36</v>
      </c>
      <c r="D43" s="44">
        <v>36</v>
      </c>
      <c r="E43" s="44">
        <v>34</v>
      </c>
      <c r="F43" s="44">
        <v>32</v>
      </c>
      <c r="G43" s="44">
        <v>33</v>
      </c>
      <c r="H43" s="44">
        <v>34</v>
      </c>
      <c r="I43" s="44">
        <v>33</v>
      </c>
      <c r="J43" s="44"/>
      <c r="K43" s="44"/>
      <c r="L43" s="44"/>
      <c r="M43" s="44"/>
      <c r="N43" s="48"/>
      <c r="O43" s="88">
        <v>34</v>
      </c>
    </row>
    <row r="44" spans="2:15" ht="15.75" thickBot="1" x14ac:dyDescent="0.3">
      <c r="B44" s="8" t="s">
        <v>15</v>
      </c>
      <c r="C44" s="32">
        <v>116</v>
      </c>
      <c r="D44" s="21">
        <v>117</v>
      </c>
      <c r="E44" s="21">
        <v>115</v>
      </c>
      <c r="F44" s="3">
        <v>102</v>
      </c>
      <c r="G44" s="3">
        <v>113</v>
      </c>
      <c r="H44" s="3">
        <v>109</v>
      </c>
      <c r="I44" s="3">
        <v>119</v>
      </c>
      <c r="J44" s="3"/>
      <c r="K44" s="3"/>
      <c r="L44" s="3"/>
      <c r="M44" s="3"/>
      <c r="N44" s="33"/>
      <c r="O44" s="18">
        <v>791</v>
      </c>
    </row>
    <row r="45" spans="2:15" ht="15.75" thickBot="1" x14ac:dyDescent="0.3">
      <c r="B45" s="8" t="s">
        <v>16</v>
      </c>
      <c r="C45" s="32">
        <v>104</v>
      </c>
      <c r="D45" s="21">
        <v>120</v>
      </c>
      <c r="E45" s="21">
        <v>113</v>
      </c>
      <c r="F45" s="3">
        <v>104</v>
      </c>
      <c r="G45" s="3">
        <v>112</v>
      </c>
      <c r="H45" s="3">
        <v>107</v>
      </c>
      <c r="I45" s="3">
        <v>120</v>
      </c>
      <c r="J45" s="3"/>
      <c r="K45" s="3"/>
      <c r="L45" s="3"/>
      <c r="M45" s="3"/>
      <c r="N45" s="33"/>
      <c r="O45" s="18">
        <v>780</v>
      </c>
    </row>
    <row r="46" spans="2:15" ht="15.75" thickBot="1" x14ac:dyDescent="0.3">
      <c r="B46" s="8" t="s">
        <v>17</v>
      </c>
      <c r="C46" s="41">
        <v>1116</v>
      </c>
      <c r="D46" s="41">
        <v>1008</v>
      </c>
      <c r="E46" s="41">
        <v>1054</v>
      </c>
      <c r="F46" s="41">
        <v>960</v>
      </c>
      <c r="G46" s="41">
        <v>1023</v>
      </c>
      <c r="H46" s="41">
        <v>1020</v>
      </c>
      <c r="I46" s="41">
        <v>1023</v>
      </c>
      <c r="J46" s="41">
        <v>0</v>
      </c>
      <c r="K46" s="41">
        <v>0</v>
      </c>
      <c r="L46" s="41">
        <v>0</v>
      </c>
      <c r="M46" s="41">
        <v>0</v>
      </c>
      <c r="N46" s="45">
        <v>0</v>
      </c>
      <c r="O46" s="18">
        <v>7204</v>
      </c>
    </row>
    <row r="47" spans="2:15" ht="15.75" thickBot="1" x14ac:dyDescent="0.3">
      <c r="B47" s="8" t="s">
        <v>18</v>
      </c>
      <c r="C47" s="32">
        <v>443</v>
      </c>
      <c r="D47" s="21">
        <v>527</v>
      </c>
      <c r="E47" s="21">
        <v>510</v>
      </c>
      <c r="F47" s="3">
        <v>549</v>
      </c>
      <c r="G47" s="3">
        <v>461</v>
      </c>
      <c r="H47" s="3">
        <v>544</v>
      </c>
      <c r="I47" s="3">
        <v>564</v>
      </c>
      <c r="J47" s="3"/>
      <c r="K47" s="3"/>
      <c r="L47" s="3"/>
      <c r="M47" s="3"/>
      <c r="N47" s="33"/>
      <c r="O47" s="18">
        <v>3598</v>
      </c>
    </row>
    <row r="48" spans="2:15" ht="15.75" thickBot="1" x14ac:dyDescent="0.3">
      <c r="B48" s="8" t="s">
        <v>19</v>
      </c>
      <c r="C48" s="32">
        <v>484</v>
      </c>
      <c r="D48" s="21">
        <v>717</v>
      </c>
      <c r="E48" s="21">
        <v>586</v>
      </c>
      <c r="F48" s="3">
        <v>703</v>
      </c>
      <c r="G48" s="3">
        <v>573</v>
      </c>
      <c r="H48" s="3">
        <v>588</v>
      </c>
      <c r="I48" s="3">
        <v>812</v>
      </c>
      <c r="J48" s="3"/>
      <c r="K48" s="3"/>
      <c r="L48" s="3"/>
      <c r="M48" s="3"/>
      <c r="N48" s="33"/>
      <c r="O48" s="18">
        <v>4463</v>
      </c>
    </row>
    <row r="49" spans="2:15" ht="15.75" thickBot="1" x14ac:dyDescent="0.3">
      <c r="B49" s="9" t="s">
        <v>51</v>
      </c>
      <c r="C49" s="75">
        <v>646</v>
      </c>
      <c r="D49" s="76">
        <v>583</v>
      </c>
      <c r="E49" s="76">
        <v>683</v>
      </c>
      <c r="F49" s="77">
        <v>710</v>
      </c>
      <c r="G49" s="76">
        <v>555</v>
      </c>
      <c r="H49" s="76">
        <v>718</v>
      </c>
      <c r="I49" s="76">
        <v>658</v>
      </c>
      <c r="J49" s="76"/>
      <c r="K49" s="76"/>
      <c r="L49" s="76"/>
      <c r="M49" s="76"/>
      <c r="N49" s="78"/>
      <c r="O49" s="18">
        <v>4553</v>
      </c>
    </row>
    <row r="50" spans="2:15" ht="15.75" thickBot="1" x14ac:dyDescent="0.3">
      <c r="B50" s="38" t="s">
        <v>21</v>
      </c>
      <c r="C50" s="70">
        <v>4.259615384615385</v>
      </c>
      <c r="D50" s="71">
        <v>4.3916666666666666</v>
      </c>
      <c r="E50" s="71">
        <v>4.5132743362831862</v>
      </c>
      <c r="F50" s="71">
        <v>5.2788461538461542</v>
      </c>
      <c r="G50" s="71">
        <v>4.1160714285714288</v>
      </c>
      <c r="H50" s="71">
        <v>5.08411214953271</v>
      </c>
      <c r="I50" s="71">
        <v>4.7</v>
      </c>
      <c r="J50" s="71" t="s">
        <v>22</v>
      </c>
      <c r="K50" s="71" t="s">
        <v>22</v>
      </c>
      <c r="L50" s="71" t="s">
        <v>22</v>
      </c>
      <c r="M50" s="71" t="s">
        <v>22</v>
      </c>
      <c r="N50" s="68" t="s">
        <v>22</v>
      </c>
      <c r="O50" s="47">
        <v>4.6128205128205124</v>
      </c>
    </row>
    <row r="51" spans="2:15" ht="15.75" thickBot="1" x14ac:dyDescent="0.3">
      <c r="B51" s="38" t="s">
        <v>23</v>
      </c>
      <c r="C51" s="42">
        <v>2.8888888888888888</v>
      </c>
      <c r="D51" s="42">
        <v>3.3333333333333335</v>
      </c>
      <c r="E51" s="42">
        <v>3.3235294117647061</v>
      </c>
      <c r="F51" s="42">
        <v>3.25</v>
      </c>
      <c r="G51" s="42">
        <v>3.393939393939394</v>
      </c>
      <c r="H51" s="42">
        <v>3.1470588235294117</v>
      </c>
      <c r="I51" s="42">
        <v>3.6363636363636362</v>
      </c>
      <c r="J51" s="42" t="s">
        <v>22</v>
      </c>
      <c r="K51" s="42" t="s">
        <v>22</v>
      </c>
      <c r="L51" s="42" t="s">
        <v>22</v>
      </c>
      <c r="M51" s="42" t="s">
        <v>22</v>
      </c>
      <c r="N51" s="46" t="s">
        <v>22</v>
      </c>
      <c r="O51" s="87">
        <v>3.2773109243697478</v>
      </c>
    </row>
    <row r="52" spans="2:15" ht="15.75" thickBot="1" x14ac:dyDescent="0.3">
      <c r="B52" s="38" t="s">
        <v>24</v>
      </c>
      <c r="C52" s="42">
        <v>4.5192307692307692</v>
      </c>
      <c r="D52" s="42">
        <v>3.5416666666666665</v>
      </c>
      <c r="E52" s="42">
        <v>3.2831858407079646</v>
      </c>
      <c r="F52" s="42">
        <v>2.4038461538461537</v>
      </c>
      <c r="G52" s="42">
        <v>4.1785714285714288</v>
      </c>
      <c r="H52" s="42">
        <v>2.8224299065420562</v>
      </c>
      <c r="I52" s="42">
        <v>3.0416666666666665</v>
      </c>
      <c r="J52" s="42" t="s">
        <v>22</v>
      </c>
      <c r="K52" s="42" t="s">
        <v>22</v>
      </c>
      <c r="L52" s="42" t="s">
        <v>22</v>
      </c>
      <c r="M52" s="42" t="s">
        <v>22</v>
      </c>
      <c r="N52" s="46" t="s">
        <v>22</v>
      </c>
      <c r="O52" s="47">
        <v>3.3987179487179486</v>
      </c>
    </row>
    <row r="53" spans="2:15" ht="15.75" thickBot="1" x14ac:dyDescent="0.3">
      <c r="B53" s="38" t="s">
        <v>25</v>
      </c>
      <c r="C53" s="42">
        <v>57.885304659498203</v>
      </c>
      <c r="D53" s="42">
        <v>57.837301587301596</v>
      </c>
      <c r="E53" s="42">
        <v>64.800759013282729</v>
      </c>
      <c r="F53" s="42">
        <v>73.958333333333343</v>
      </c>
      <c r="G53" s="42">
        <v>54.252199413489734</v>
      </c>
      <c r="H53" s="42">
        <v>70.392156862745097</v>
      </c>
      <c r="I53" s="42">
        <v>64.320625610948184</v>
      </c>
      <c r="J53" s="42" t="s">
        <v>22</v>
      </c>
      <c r="K53" s="42" t="s">
        <v>22</v>
      </c>
      <c r="L53" s="42" t="s">
        <v>22</v>
      </c>
      <c r="M53" s="42" t="s">
        <v>22</v>
      </c>
      <c r="N53" s="46" t="s">
        <v>22</v>
      </c>
      <c r="O53" s="47">
        <v>63.200999444752917</v>
      </c>
    </row>
    <row r="54" spans="2:15" ht="15.75" thickBot="1" x14ac:dyDescent="0.3">
      <c r="B54" s="8" t="s">
        <v>26</v>
      </c>
      <c r="C54" s="41">
        <v>14</v>
      </c>
      <c r="D54" s="41">
        <v>9</v>
      </c>
      <c r="E54" s="41">
        <v>11</v>
      </c>
      <c r="F54" s="41">
        <v>10</v>
      </c>
      <c r="G54" s="41">
        <v>10</v>
      </c>
      <c r="H54" s="41">
        <v>9</v>
      </c>
      <c r="I54" s="41">
        <v>12</v>
      </c>
      <c r="J54" s="41">
        <v>0</v>
      </c>
      <c r="K54" s="41">
        <v>0</v>
      </c>
      <c r="L54" s="41">
        <v>0</v>
      </c>
      <c r="M54" s="41">
        <v>0</v>
      </c>
      <c r="N54" s="45">
        <v>0</v>
      </c>
      <c r="O54" s="18">
        <v>75</v>
      </c>
    </row>
    <row r="55" spans="2:15" ht="15.75" thickBot="1" x14ac:dyDescent="0.3">
      <c r="B55" s="8" t="s">
        <v>52</v>
      </c>
      <c r="C55" s="32">
        <v>9</v>
      </c>
      <c r="D55" s="21">
        <v>5</v>
      </c>
      <c r="E55" s="21">
        <v>7</v>
      </c>
      <c r="F55" s="3">
        <v>6</v>
      </c>
      <c r="G55" s="3">
        <v>6</v>
      </c>
      <c r="H55" s="3">
        <v>5</v>
      </c>
      <c r="I55" s="3">
        <v>8</v>
      </c>
      <c r="J55" s="3"/>
      <c r="K55" s="3"/>
      <c r="L55" s="3"/>
      <c r="M55" s="3"/>
      <c r="N55" s="33"/>
      <c r="O55" s="18">
        <v>46</v>
      </c>
    </row>
    <row r="56" spans="2:15" ht="15.75" thickBot="1" x14ac:dyDescent="0.3">
      <c r="B56" s="8" t="s">
        <v>53</v>
      </c>
      <c r="C56" s="32">
        <v>5</v>
      </c>
      <c r="D56" s="21">
        <v>4</v>
      </c>
      <c r="E56" s="21">
        <v>4</v>
      </c>
      <c r="F56" s="3">
        <v>4</v>
      </c>
      <c r="G56" s="3">
        <v>4</v>
      </c>
      <c r="H56" s="3">
        <v>4</v>
      </c>
      <c r="I56" s="3">
        <v>4</v>
      </c>
      <c r="J56" s="3"/>
      <c r="K56" s="3"/>
      <c r="L56" s="3"/>
      <c r="M56" s="3"/>
      <c r="N56" s="33"/>
      <c r="O56" s="18">
        <v>29</v>
      </c>
    </row>
    <row r="57" spans="2:15" ht="15.75" thickBot="1" x14ac:dyDescent="0.3">
      <c r="B57" s="38" t="s">
        <v>29</v>
      </c>
      <c r="C57" s="67">
        <v>13.461538461538462</v>
      </c>
      <c r="D57" s="67">
        <v>7.5</v>
      </c>
      <c r="E57" s="67">
        <v>9.7345132743362832</v>
      </c>
      <c r="F57" s="67">
        <v>9.6153846153846168</v>
      </c>
      <c r="G57" s="67">
        <v>8.9285714285714288</v>
      </c>
      <c r="H57" s="67">
        <v>8.4112149532710276</v>
      </c>
      <c r="I57" s="67">
        <v>10</v>
      </c>
      <c r="J57" s="67" t="s">
        <v>22</v>
      </c>
      <c r="K57" s="67" t="s">
        <v>22</v>
      </c>
      <c r="L57" s="67" t="s">
        <v>22</v>
      </c>
      <c r="M57" s="67" t="s">
        <v>22</v>
      </c>
      <c r="N57" s="68" t="s">
        <v>22</v>
      </c>
      <c r="O57" s="69">
        <v>9.6153846153846168</v>
      </c>
    </row>
    <row r="58" spans="2:15" ht="15.75" thickBot="1" x14ac:dyDescent="0.3">
      <c r="B58" s="38" t="s">
        <v>30</v>
      </c>
      <c r="C58" s="67">
        <v>8.6538461538461533</v>
      </c>
      <c r="D58" s="67">
        <v>4.1666666666666661</v>
      </c>
      <c r="E58" s="67">
        <v>6.1946902654867255</v>
      </c>
      <c r="F58" s="67">
        <v>5.7692307692307692</v>
      </c>
      <c r="G58" s="67">
        <v>5.3571428571428568</v>
      </c>
      <c r="H58" s="67">
        <v>4.6728971962616823</v>
      </c>
      <c r="I58" s="67">
        <v>6.666666666666667</v>
      </c>
      <c r="J58" s="67" t="s">
        <v>22</v>
      </c>
      <c r="K58" s="67" t="s">
        <v>22</v>
      </c>
      <c r="L58" s="67" t="s">
        <v>22</v>
      </c>
      <c r="M58" s="67" t="s">
        <v>22</v>
      </c>
      <c r="N58" s="68" t="s">
        <v>22</v>
      </c>
      <c r="O58" s="69">
        <v>5.8974358974358969</v>
      </c>
    </row>
    <row r="59" spans="2:15" ht="15.75" thickBot="1" x14ac:dyDescent="0.3">
      <c r="B59" s="15" t="s">
        <v>31</v>
      </c>
      <c r="C59" s="25">
        <v>0</v>
      </c>
      <c r="D59" s="25">
        <v>0</v>
      </c>
      <c r="E59" s="25">
        <v>0</v>
      </c>
      <c r="F59" s="34">
        <v>0</v>
      </c>
      <c r="G59" s="34">
        <v>0</v>
      </c>
      <c r="H59" s="34">
        <v>0</v>
      </c>
      <c r="I59" s="34">
        <v>0</v>
      </c>
      <c r="J59" s="34"/>
      <c r="K59" s="34"/>
      <c r="L59" s="34"/>
      <c r="M59" s="34"/>
      <c r="N59" s="35"/>
      <c r="O59" s="28">
        <v>0</v>
      </c>
    </row>
    <row r="60" spans="2:15" ht="15.75" thickBo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ht="15.75" thickBot="1" x14ac:dyDescent="0.3">
      <c r="B61" s="6"/>
      <c r="C61" s="1"/>
      <c r="D61" s="1"/>
      <c r="E61" s="1"/>
      <c r="F61" s="1"/>
      <c r="G61" s="1"/>
      <c r="H61" s="1"/>
      <c r="I61" s="1"/>
      <c r="J61" s="1"/>
      <c r="K61" s="1"/>
      <c r="L61" s="4"/>
      <c r="M61" s="1"/>
      <c r="N61" s="1"/>
      <c r="O61" s="1"/>
    </row>
    <row r="62" spans="2:15" ht="16.5" thickBot="1" x14ac:dyDescent="0.3">
      <c r="B62" s="1"/>
      <c r="C62" s="199" t="s">
        <v>49</v>
      </c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199">
        <v>2018</v>
      </c>
      <c r="O62" s="201"/>
    </row>
    <row r="63" spans="2:15" ht="15.75" thickBot="1" x14ac:dyDescent="0.3">
      <c r="B63" s="7"/>
      <c r="C63" s="39">
        <v>31</v>
      </c>
      <c r="D63" s="39">
        <v>28</v>
      </c>
      <c r="E63" s="39">
        <v>31</v>
      </c>
      <c r="F63" s="39">
        <v>30</v>
      </c>
      <c r="G63" s="39">
        <v>31</v>
      </c>
      <c r="H63" s="39">
        <v>30</v>
      </c>
      <c r="I63" s="39">
        <v>31</v>
      </c>
      <c r="J63" s="39">
        <v>31</v>
      </c>
      <c r="K63" s="39">
        <v>30</v>
      </c>
      <c r="L63" s="39">
        <v>31</v>
      </c>
      <c r="M63" s="39">
        <v>30</v>
      </c>
      <c r="N63" s="39">
        <v>31</v>
      </c>
      <c r="O63" s="86"/>
    </row>
    <row r="64" spans="2:15" ht="21.75" thickBot="1" x14ac:dyDescent="0.3">
      <c r="B64" s="10" t="s">
        <v>54</v>
      </c>
      <c r="C64" s="11" t="s">
        <v>1</v>
      </c>
      <c r="D64" s="12" t="s">
        <v>2</v>
      </c>
      <c r="E64" s="12" t="s">
        <v>3</v>
      </c>
      <c r="F64" s="12" t="s">
        <v>4</v>
      </c>
      <c r="G64" s="12" t="s">
        <v>5</v>
      </c>
      <c r="H64" s="12" t="s">
        <v>6</v>
      </c>
      <c r="I64" s="12" t="s">
        <v>7</v>
      </c>
      <c r="J64" s="12" t="s">
        <v>8</v>
      </c>
      <c r="K64" s="13" t="s">
        <v>9</v>
      </c>
      <c r="L64" s="13" t="s">
        <v>10</v>
      </c>
      <c r="M64" s="13" t="s">
        <v>11</v>
      </c>
      <c r="N64" s="13" t="s">
        <v>12</v>
      </c>
      <c r="O64" s="14" t="s">
        <v>13</v>
      </c>
    </row>
    <row r="65" spans="2:15" ht="15.75" thickBot="1" x14ac:dyDescent="0.3">
      <c r="B65" s="8" t="s">
        <v>14</v>
      </c>
      <c r="C65" s="44">
        <v>39</v>
      </c>
      <c r="D65" s="44">
        <v>39</v>
      </c>
      <c r="E65" s="44">
        <v>39</v>
      </c>
      <c r="F65" s="44">
        <v>39</v>
      </c>
      <c r="G65" s="44">
        <v>39</v>
      </c>
      <c r="H65" s="44">
        <v>40</v>
      </c>
      <c r="I65" s="44">
        <v>39</v>
      </c>
      <c r="J65" s="44"/>
      <c r="K65" s="44"/>
      <c r="L65" s="44"/>
      <c r="M65" s="44"/>
      <c r="N65" s="44"/>
      <c r="O65" s="88">
        <v>39.142857142857146</v>
      </c>
    </row>
    <row r="66" spans="2:15" ht="15.75" thickBot="1" x14ac:dyDescent="0.3">
      <c r="B66" s="8" t="s">
        <v>15</v>
      </c>
      <c r="C66" s="32">
        <v>140</v>
      </c>
      <c r="D66" s="21">
        <v>157</v>
      </c>
      <c r="E66" s="21">
        <v>121</v>
      </c>
      <c r="F66" s="3">
        <v>161</v>
      </c>
      <c r="G66" s="3">
        <v>132</v>
      </c>
      <c r="H66" s="3">
        <v>155</v>
      </c>
      <c r="I66" s="3">
        <v>148</v>
      </c>
      <c r="J66" s="3"/>
      <c r="K66" s="3"/>
      <c r="L66" s="3"/>
      <c r="M66" s="3"/>
      <c r="N66" s="33"/>
      <c r="O66" s="18">
        <v>1014</v>
      </c>
    </row>
    <row r="67" spans="2:15" ht="15.75" thickBot="1" x14ac:dyDescent="0.3">
      <c r="B67" s="8" t="s">
        <v>16</v>
      </c>
      <c r="C67" s="32">
        <v>134</v>
      </c>
      <c r="D67" s="21">
        <v>157</v>
      </c>
      <c r="E67" s="21">
        <v>124</v>
      </c>
      <c r="F67" s="3">
        <v>158</v>
      </c>
      <c r="G67" s="3">
        <v>130</v>
      </c>
      <c r="H67" s="3">
        <v>156</v>
      </c>
      <c r="I67" s="3">
        <v>151</v>
      </c>
      <c r="J67" s="3"/>
      <c r="K67" s="3"/>
      <c r="L67" s="3"/>
      <c r="M67" s="3"/>
      <c r="N67" s="33"/>
      <c r="O67" s="18">
        <v>1010</v>
      </c>
    </row>
    <row r="68" spans="2:15" ht="15.75" thickBot="1" x14ac:dyDescent="0.3">
      <c r="B68" s="8" t="s">
        <v>17</v>
      </c>
      <c r="C68" s="41">
        <v>1209</v>
      </c>
      <c r="D68" s="41">
        <v>1092</v>
      </c>
      <c r="E68" s="41">
        <v>1209</v>
      </c>
      <c r="F68" s="41">
        <v>1170</v>
      </c>
      <c r="G68" s="41">
        <v>1209</v>
      </c>
      <c r="H68" s="41">
        <v>1200</v>
      </c>
      <c r="I68" s="41">
        <v>1209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18">
        <v>8298</v>
      </c>
    </row>
    <row r="69" spans="2:15" ht="15.75" thickBot="1" x14ac:dyDescent="0.3">
      <c r="B69" s="8" t="s">
        <v>18</v>
      </c>
      <c r="C69" s="32">
        <v>726</v>
      </c>
      <c r="D69" s="21">
        <v>680</v>
      </c>
      <c r="E69" s="21">
        <v>565</v>
      </c>
      <c r="F69" s="3">
        <v>659</v>
      </c>
      <c r="G69" s="3">
        <v>519</v>
      </c>
      <c r="H69" s="3">
        <v>634</v>
      </c>
      <c r="I69" s="3">
        <v>642</v>
      </c>
      <c r="J69" s="3"/>
      <c r="K69" s="3"/>
      <c r="L69" s="3"/>
      <c r="M69" s="3"/>
      <c r="N69" s="33"/>
      <c r="O69" s="18">
        <v>4425</v>
      </c>
    </row>
    <row r="70" spans="2:15" ht="15.75" thickBot="1" x14ac:dyDescent="0.3">
      <c r="B70" s="8" t="s">
        <v>19</v>
      </c>
      <c r="C70" s="32">
        <v>882</v>
      </c>
      <c r="D70" s="21">
        <v>874</v>
      </c>
      <c r="E70" s="21">
        <v>642</v>
      </c>
      <c r="F70" s="3">
        <v>909</v>
      </c>
      <c r="G70" s="3">
        <v>621</v>
      </c>
      <c r="H70" s="3">
        <v>835</v>
      </c>
      <c r="I70" s="3">
        <v>1077</v>
      </c>
      <c r="J70" s="3"/>
      <c r="K70" s="3"/>
      <c r="L70" s="3"/>
      <c r="M70" s="3"/>
      <c r="N70" s="33"/>
      <c r="O70" s="18">
        <v>5840</v>
      </c>
    </row>
    <row r="71" spans="2:15" ht="15.75" thickBot="1" x14ac:dyDescent="0.3">
      <c r="B71" s="9" t="s">
        <v>51</v>
      </c>
      <c r="C71" s="75">
        <v>929</v>
      </c>
      <c r="D71" s="76">
        <v>759</v>
      </c>
      <c r="E71" s="76">
        <v>835</v>
      </c>
      <c r="F71" s="77">
        <v>851</v>
      </c>
      <c r="G71" s="76">
        <v>729</v>
      </c>
      <c r="H71" s="76">
        <v>911</v>
      </c>
      <c r="I71" s="76">
        <v>814</v>
      </c>
      <c r="J71" s="76"/>
      <c r="K71" s="76"/>
      <c r="L71" s="76"/>
      <c r="M71" s="76"/>
      <c r="N71" s="78"/>
      <c r="O71" s="18">
        <v>5828</v>
      </c>
    </row>
    <row r="72" spans="2:15" ht="15.75" thickBot="1" x14ac:dyDescent="0.3">
      <c r="B72" s="38" t="s">
        <v>21</v>
      </c>
      <c r="C72" s="70">
        <v>5.4179104477611943</v>
      </c>
      <c r="D72" s="71">
        <v>4.3312101910828025</v>
      </c>
      <c r="E72" s="71">
        <v>4.556451612903226</v>
      </c>
      <c r="F72" s="71">
        <v>4.1708860759493671</v>
      </c>
      <c r="G72" s="71">
        <v>3.9923076923076923</v>
      </c>
      <c r="H72" s="71">
        <v>4.0641025641025639</v>
      </c>
      <c r="I72" s="71">
        <v>4.2516556291390728</v>
      </c>
      <c r="J72" s="71" t="s">
        <v>22</v>
      </c>
      <c r="K72" s="71" t="s">
        <v>22</v>
      </c>
      <c r="L72" s="71" t="s">
        <v>22</v>
      </c>
      <c r="M72" s="71" t="s">
        <v>22</v>
      </c>
      <c r="N72" s="73" t="s">
        <v>22</v>
      </c>
      <c r="O72" s="47">
        <v>4.3811881188118811</v>
      </c>
    </row>
    <row r="73" spans="2:15" ht="15.75" thickBot="1" x14ac:dyDescent="0.3">
      <c r="B73" s="38" t="s">
        <v>23</v>
      </c>
      <c r="C73" s="42">
        <v>3.4358974358974357</v>
      </c>
      <c r="D73" s="42">
        <v>4.0256410256410255</v>
      </c>
      <c r="E73" s="42">
        <v>3.1794871794871793</v>
      </c>
      <c r="F73" s="42">
        <v>4.0512820512820511</v>
      </c>
      <c r="G73" s="42">
        <v>3.3333333333333335</v>
      </c>
      <c r="H73" s="42">
        <v>3.9</v>
      </c>
      <c r="I73" s="42">
        <v>3.8717948717948718</v>
      </c>
      <c r="J73" s="42" t="s">
        <v>22</v>
      </c>
      <c r="K73" s="42" t="s">
        <v>22</v>
      </c>
      <c r="L73" s="42" t="s">
        <v>22</v>
      </c>
      <c r="M73" s="42" t="s">
        <v>22</v>
      </c>
      <c r="N73" s="46" t="s">
        <v>22</v>
      </c>
      <c r="O73" s="87">
        <v>3.6861313868613133</v>
      </c>
    </row>
    <row r="74" spans="2:15" ht="15.75" thickBot="1" x14ac:dyDescent="0.3">
      <c r="B74" s="38" t="s">
        <v>24</v>
      </c>
      <c r="C74" s="42">
        <v>2.08955223880597</v>
      </c>
      <c r="D74" s="42">
        <v>2.121019108280255</v>
      </c>
      <c r="E74" s="42">
        <v>3.0161290322580645</v>
      </c>
      <c r="F74" s="42">
        <v>2.018987341772152</v>
      </c>
      <c r="G74" s="42">
        <v>3.6923076923076925</v>
      </c>
      <c r="H74" s="42">
        <v>1.8525641025641026</v>
      </c>
      <c r="I74" s="42">
        <v>2.6158940397350992</v>
      </c>
      <c r="J74" s="42" t="s">
        <v>22</v>
      </c>
      <c r="K74" s="42" t="s">
        <v>22</v>
      </c>
      <c r="L74" s="42" t="s">
        <v>22</v>
      </c>
      <c r="M74" s="42" t="s">
        <v>22</v>
      </c>
      <c r="N74" s="42" t="s">
        <v>22</v>
      </c>
      <c r="O74" s="47">
        <v>2.4455445544554455</v>
      </c>
    </row>
    <row r="75" spans="2:15" ht="15.75" thickBot="1" x14ac:dyDescent="0.3">
      <c r="B75" s="38" t="s">
        <v>25</v>
      </c>
      <c r="C75" s="42">
        <v>76.840363937138136</v>
      </c>
      <c r="D75" s="42">
        <v>69.505494505494497</v>
      </c>
      <c r="E75" s="42">
        <v>69.065343258891644</v>
      </c>
      <c r="F75" s="42">
        <v>72.735042735042725</v>
      </c>
      <c r="G75" s="42">
        <v>60.297766749379655</v>
      </c>
      <c r="H75" s="42">
        <v>75.916666666666671</v>
      </c>
      <c r="I75" s="42">
        <v>67.328370554177013</v>
      </c>
      <c r="J75" s="42" t="s">
        <v>22</v>
      </c>
      <c r="K75" s="42" t="s">
        <v>22</v>
      </c>
      <c r="L75" s="42" t="s">
        <v>22</v>
      </c>
      <c r="M75" s="42" t="s">
        <v>22</v>
      </c>
      <c r="N75" s="46" t="s">
        <v>22</v>
      </c>
      <c r="O75" s="47">
        <v>70.233791275006027</v>
      </c>
    </row>
    <row r="76" spans="2:15" ht="15.75" thickBot="1" x14ac:dyDescent="0.3">
      <c r="B76" s="8" t="s">
        <v>26</v>
      </c>
      <c r="C76" s="41">
        <v>1</v>
      </c>
      <c r="D76" s="41">
        <v>0</v>
      </c>
      <c r="E76" s="41">
        <v>0</v>
      </c>
      <c r="F76" s="41">
        <v>0</v>
      </c>
      <c r="G76" s="41">
        <v>1</v>
      </c>
      <c r="H76" s="41">
        <v>1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18">
        <v>3</v>
      </c>
    </row>
    <row r="77" spans="2:15" ht="15.75" thickBot="1" x14ac:dyDescent="0.3">
      <c r="B77" s="8" t="s">
        <v>52</v>
      </c>
      <c r="C77" s="32">
        <v>0</v>
      </c>
      <c r="D77" s="21">
        <v>0</v>
      </c>
      <c r="E77" s="21">
        <v>0</v>
      </c>
      <c r="F77" s="3">
        <v>0</v>
      </c>
      <c r="G77" s="3">
        <v>0</v>
      </c>
      <c r="H77" s="3">
        <v>1</v>
      </c>
      <c r="I77" s="3">
        <v>0</v>
      </c>
      <c r="J77" s="3"/>
      <c r="K77" s="3"/>
      <c r="L77" s="3"/>
      <c r="M77" s="3"/>
      <c r="N77" s="33"/>
      <c r="O77" s="18">
        <v>1</v>
      </c>
    </row>
    <row r="78" spans="2:15" ht="15.75" thickBot="1" x14ac:dyDescent="0.3">
      <c r="B78" s="8" t="s">
        <v>53</v>
      </c>
      <c r="C78" s="32">
        <v>1</v>
      </c>
      <c r="D78" s="21">
        <v>0</v>
      </c>
      <c r="E78" s="21">
        <v>0</v>
      </c>
      <c r="F78" s="3">
        <v>0</v>
      </c>
      <c r="G78" s="3">
        <v>1</v>
      </c>
      <c r="H78" s="3">
        <v>0</v>
      </c>
      <c r="I78" s="3">
        <v>0</v>
      </c>
      <c r="J78" s="3"/>
      <c r="K78" s="3"/>
      <c r="L78" s="3"/>
      <c r="M78" s="3"/>
      <c r="N78" s="33"/>
      <c r="O78" s="18">
        <v>2</v>
      </c>
    </row>
    <row r="79" spans="2:15" ht="15.75" thickBot="1" x14ac:dyDescent="0.3">
      <c r="B79" s="15" t="s">
        <v>31</v>
      </c>
      <c r="C79" s="25">
        <v>1</v>
      </c>
      <c r="D79" s="25">
        <v>0</v>
      </c>
      <c r="E79" s="25">
        <v>0</v>
      </c>
      <c r="F79" s="34">
        <v>0</v>
      </c>
      <c r="G79" s="34">
        <v>0</v>
      </c>
      <c r="H79" s="34">
        <v>0</v>
      </c>
      <c r="I79" s="34">
        <v>0</v>
      </c>
      <c r="J79" s="34"/>
      <c r="K79" s="34"/>
      <c r="L79" s="34"/>
      <c r="M79" s="34"/>
      <c r="N79" s="35"/>
      <c r="O79" s="28">
        <v>1</v>
      </c>
    </row>
    <row r="80" spans="2:1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ht="15.75" thickBot="1" x14ac:dyDescent="0.3">
      <c r="B81" s="6"/>
      <c r="C81" s="1"/>
      <c r="D81" s="1"/>
      <c r="E81" s="1"/>
      <c r="F81" s="1"/>
      <c r="G81" s="1"/>
      <c r="H81" s="1"/>
      <c r="I81" s="1"/>
      <c r="J81" s="1"/>
      <c r="K81" s="1"/>
      <c r="L81" s="4"/>
      <c r="M81" s="1"/>
      <c r="N81" s="1"/>
      <c r="O81" s="1"/>
    </row>
    <row r="82" spans="2:15" ht="16.5" thickBot="1" x14ac:dyDescent="0.3">
      <c r="B82" s="1"/>
      <c r="C82" s="199" t="s">
        <v>49</v>
      </c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199">
        <v>2018</v>
      </c>
      <c r="O82" s="201"/>
    </row>
    <row r="83" spans="2:15" ht="15.75" thickBot="1" x14ac:dyDescent="0.3">
      <c r="B83" s="7"/>
      <c r="C83" s="39">
        <v>31</v>
      </c>
      <c r="D83" s="39">
        <v>28</v>
      </c>
      <c r="E83" s="39">
        <v>31</v>
      </c>
      <c r="F83" s="39">
        <v>30</v>
      </c>
      <c r="G83" s="39">
        <v>31</v>
      </c>
      <c r="H83" s="39">
        <v>30</v>
      </c>
      <c r="I83" s="39">
        <v>31</v>
      </c>
      <c r="J83" s="39">
        <v>31</v>
      </c>
      <c r="K83" s="39">
        <v>30</v>
      </c>
      <c r="L83" s="39">
        <v>31</v>
      </c>
      <c r="M83" s="39">
        <v>30</v>
      </c>
      <c r="N83" s="39">
        <v>31</v>
      </c>
      <c r="O83" s="86"/>
    </row>
    <row r="84" spans="2:15" ht="21.75" thickBot="1" x14ac:dyDescent="0.3">
      <c r="B84" s="10" t="s">
        <v>55</v>
      </c>
      <c r="C84" s="96" t="s">
        <v>1</v>
      </c>
      <c r="D84" s="12" t="s">
        <v>2</v>
      </c>
      <c r="E84" s="12" t="s">
        <v>3</v>
      </c>
      <c r="F84" s="12" t="s">
        <v>4</v>
      </c>
      <c r="G84" s="12" t="s">
        <v>5</v>
      </c>
      <c r="H84" s="12" t="s">
        <v>6</v>
      </c>
      <c r="I84" s="12" t="s">
        <v>7</v>
      </c>
      <c r="J84" s="12" t="s">
        <v>8</v>
      </c>
      <c r="K84" s="13" t="s">
        <v>9</v>
      </c>
      <c r="L84" s="13" t="s">
        <v>10</v>
      </c>
      <c r="M84" s="13" t="s">
        <v>11</v>
      </c>
      <c r="N84" s="97" t="s">
        <v>12</v>
      </c>
      <c r="O84" s="93" t="s">
        <v>13</v>
      </c>
    </row>
    <row r="85" spans="2:15" ht="15.75" thickBot="1" x14ac:dyDescent="0.3">
      <c r="B85" s="8" t="s">
        <v>14</v>
      </c>
      <c r="C85" s="48">
        <v>15</v>
      </c>
      <c r="D85" s="95">
        <v>15</v>
      </c>
      <c r="E85" s="95">
        <v>15</v>
      </c>
      <c r="F85" s="95">
        <v>15</v>
      </c>
      <c r="G85" s="95">
        <v>15</v>
      </c>
      <c r="H85" s="95">
        <v>15</v>
      </c>
      <c r="I85" s="95">
        <v>15</v>
      </c>
      <c r="J85" s="95">
        <v>0</v>
      </c>
      <c r="K85" s="95">
        <v>0</v>
      </c>
      <c r="L85" s="95">
        <v>0</v>
      </c>
      <c r="M85" s="95">
        <v>0</v>
      </c>
      <c r="N85" s="94">
        <v>0</v>
      </c>
      <c r="O85" s="88">
        <v>8.75</v>
      </c>
    </row>
    <row r="86" spans="2:15" ht="15.75" thickBot="1" x14ac:dyDescent="0.3">
      <c r="B86" s="59" t="s">
        <v>15</v>
      </c>
      <c r="C86" s="20">
        <v>30</v>
      </c>
      <c r="D86" s="32">
        <v>28</v>
      </c>
      <c r="E86" s="32">
        <v>29</v>
      </c>
      <c r="F86" s="32">
        <v>28</v>
      </c>
      <c r="G86" s="32">
        <v>41</v>
      </c>
      <c r="H86" s="32">
        <v>28</v>
      </c>
      <c r="I86" s="32">
        <v>30</v>
      </c>
      <c r="J86" s="32">
        <v>0</v>
      </c>
      <c r="K86" s="32">
        <v>0</v>
      </c>
      <c r="L86" s="32">
        <v>0</v>
      </c>
      <c r="M86" s="32">
        <v>0</v>
      </c>
      <c r="N86" s="89">
        <v>0</v>
      </c>
      <c r="O86" s="18">
        <v>214</v>
      </c>
    </row>
    <row r="87" spans="2:15" ht="15.75" thickBot="1" x14ac:dyDescent="0.3">
      <c r="B87" s="59" t="s">
        <v>16</v>
      </c>
      <c r="C87" s="20">
        <v>29</v>
      </c>
      <c r="D87" s="32">
        <v>24</v>
      </c>
      <c r="E87" s="32">
        <v>33</v>
      </c>
      <c r="F87" s="32">
        <v>25</v>
      </c>
      <c r="G87" s="32">
        <v>41</v>
      </c>
      <c r="H87" s="32">
        <v>28</v>
      </c>
      <c r="I87" s="32">
        <v>33</v>
      </c>
      <c r="J87" s="32">
        <v>0</v>
      </c>
      <c r="K87" s="32">
        <v>0</v>
      </c>
      <c r="L87" s="32">
        <v>0</v>
      </c>
      <c r="M87" s="32">
        <v>0</v>
      </c>
      <c r="N87" s="89">
        <v>0</v>
      </c>
      <c r="O87" s="18">
        <v>213</v>
      </c>
    </row>
    <row r="88" spans="2:15" ht="15.75" thickBot="1" x14ac:dyDescent="0.3">
      <c r="B88" s="8" t="s">
        <v>17</v>
      </c>
      <c r="C88" s="41">
        <v>465</v>
      </c>
      <c r="D88" s="43">
        <v>420</v>
      </c>
      <c r="E88" s="43">
        <v>465</v>
      </c>
      <c r="F88" s="43">
        <v>450</v>
      </c>
      <c r="G88" s="43">
        <v>465</v>
      </c>
      <c r="H88" s="43">
        <v>450</v>
      </c>
      <c r="I88" s="43">
        <v>465</v>
      </c>
      <c r="J88" s="43">
        <v>0</v>
      </c>
      <c r="K88" s="43">
        <v>0</v>
      </c>
      <c r="L88" s="43">
        <v>0</v>
      </c>
      <c r="M88" s="43">
        <v>0</v>
      </c>
      <c r="N88" s="90">
        <v>0</v>
      </c>
      <c r="O88" s="18">
        <v>3180</v>
      </c>
    </row>
    <row r="89" spans="2:15" ht="15.75" thickBot="1" x14ac:dyDescent="0.3">
      <c r="B89" s="59" t="s">
        <v>18</v>
      </c>
      <c r="C89" s="20">
        <v>100</v>
      </c>
      <c r="D89" s="32">
        <v>115</v>
      </c>
      <c r="E89" s="32">
        <v>112</v>
      </c>
      <c r="F89" s="32">
        <v>97</v>
      </c>
      <c r="G89" s="32">
        <v>129</v>
      </c>
      <c r="H89" s="32">
        <v>102</v>
      </c>
      <c r="I89" s="32">
        <v>153</v>
      </c>
      <c r="J89" s="32">
        <v>0</v>
      </c>
      <c r="K89" s="32">
        <v>0</v>
      </c>
      <c r="L89" s="32">
        <v>0</v>
      </c>
      <c r="M89" s="32">
        <v>0</v>
      </c>
      <c r="N89" s="89">
        <v>0</v>
      </c>
      <c r="O89" s="18">
        <v>808</v>
      </c>
    </row>
    <row r="90" spans="2:15" ht="15.75" thickBot="1" x14ac:dyDescent="0.3">
      <c r="B90" s="59" t="s">
        <v>19</v>
      </c>
      <c r="C90" s="20">
        <v>104</v>
      </c>
      <c r="D90" s="32">
        <v>123</v>
      </c>
      <c r="E90" s="32">
        <v>158</v>
      </c>
      <c r="F90" s="32">
        <v>107</v>
      </c>
      <c r="G90" s="32">
        <v>129</v>
      </c>
      <c r="H90" s="32">
        <v>144</v>
      </c>
      <c r="I90" s="32">
        <v>186</v>
      </c>
      <c r="J90" s="32">
        <v>0</v>
      </c>
      <c r="K90" s="32">
        <v>0</v>
      </c>
      <c r="L90" s="32">
        <v>0</v>
      </c>
      <c r="M90" s="32">
        <v>0</v>
      </c>
      <c r="N90" s="89">
        <v>0</v>
      </c>
      <c r="O90" s="18">
        <v>951</v>
      </c>
    </row>
    <row r="91" spans="2:15" ht="15.75" thickBot="1" x14ac:dyDescent="0.3">
      <c r="B91" s="60" t="s">
        <v>51</v>
      </c>
      <c r="C91" s="79">
        <v>109</v>
      </c>
      <c r="D91" s="75">
        <v>164</v>
      </c>
      <c r="E91" s="75">
        <v>118</v>
      </c>
      <c r="F91" s="75">
        <v>101</v>
      </c>
      <c r="G91" s="75">
        <v>186</v>
      </c>
      <c r="H91" s="75">
        <v>159</v>
      </c>
      <c r="I91" s="75">
        <v>155</v>
      </c>
      <c r="J91" s="75">
        <v>0</v>
      </c>
      <c r="K91" s="75">
        <v>0</v>
      </c>
      <c r="L91" s="75">
        <v>0</v>
      </c>
      <c r="M91" s="75">
        <v>0</v>
      </c>
      <c r="N91" s="91">
        <v>0</v>
      </c>
      <c r="O91" s="18">
        <v>992</v>
      </c>
    </row>
    <row r="92" spans="2:15" ht="15.75" thickBot="1" x14ac:dyDescent="0.3">
      <c r="B92" s="61" t="s">
        <v>21</v>
      </c>
      <c r="C92" s="70">
        <v>3.4482758620689653</v>
      </c>
      <c r="D92" s="71">
        <v>4.791666666666667</v>
      </c>
      <c r="E92" s="71">
        <v>3.393939393939394</v>
      </c>
      <c r="F92" s="71">
        <v>3.88</v>
      </c>
      <c r="G92" s="71">
        <v>3.1463414634146343</v>
      </c>
      <c r="H92" s="71">
        <v>3.6428571428571428</v>
      </c>
      <c r="I92" s="71">
        <v>4.6363636363636367</v>
      </c>
      <c r="J92" s="71" t="s">
        <v>22</v>
      </c>
      <c r="K92" s="71" t="s">
        <v>22</v>
      </c>
      <c r="L92" s="71" t="s">
        <v>22</v>
      </c>
      <c r="M92" s="71" t="s">
        <v>22</v>
      </c>
      <c r="N92" s="68" t="s">
        <v>22</v>
      </c>
      <c r="O92" s="47">
        <v>3.7934272300469485</v>
      </c>
    </row>
    <row r="93" spans="2:15" ht="15.75" thickBot="1" x14ac:dyDescent="0.3">
      <c r="B93" s="61" t="s">
        <v>23</v>
      </c>
      <c r="C93" s="65">
        <v>1.9333333333333333</v>
      </c>
      <c r="D93" s="42">
        <v>1.6</v>
      </c>
      <c r="E93" s="42">
        <v>2.2000000000000002</v>
      </c>
      <c r="F93" s="42">
        <v>1.6666666666666667</v>
      </c>
      <c r="G93" s="42">
        <v>2.7333333333333334</v>
      </c>
      <c r="H93" s="42">
        <v>1.8666666666666667</v>
      </c>
      <c r="I93" s="42">
        <v>2.2000000000000002</v>
      </c>
      <c r="J93" s="42" t="s">
        <v>22</v>
      </c>
      <c r="K93" s="42" t="s">
        <v>22</v>
      </c>
      <c r="L93" s="42" t="s">
        <v>22</v>
      </c>
      <c r="M93" s="42" t="s">
        <v>22</v>
      </c>
      <c r="N93" s="46" t="s">
        <v>22</v>
      </c>
      <c r="O93" s="87">
        <v>2.0285714285714285</v>
      </c>
    </row>
    <row r="94" spans="2:15" ht="15.75" thickBot="1" x14ac:dyDescent="0.3">
      <c r="B94" s="61" t="s">
        <v>24</v>
      </c>
      <c r="C94" s="65">
        <v>12.275862068965518</v>
      </c>
      <c r="D94" s="42">
        <v>10.666666666666666</v>
      </c>
      <c r="E94" s="42">
        <v>10.515151515151516</v>
      </c>
      <c r="F94" s="42">
        <v>13.96</v>
      </c>
      <c r="G94" s="42">
        <v>6.8048780487804876</v>
      </c>
      <c r="H94" s="42">
        <v>10.392857142857142</v>
      </c>
      <c r="I94" s="42">
        <v>9.3939393939393945</v>
      </c>
      <c r="J94" s="42" t="s">
        <v>22</v>
      </c>
      <c r="K94" s="42" t="s">
        <v>22</v>
      </c>
      <c r="L94" s="42" t="s">
        <v>22</v>
      </c>
      <c r="M94" s="42" t="s">
        <v>22</v>
      </c>
      <c r="N94" s="46" t="s">
        <v>22</v>
      </c>
      <c r="O94" s="47">
        <v>10.272300469483568</v>
      </c>
    </row>
    <row r="95" spans="2:15" ht="15.75" thickBot="1" x14ac:dyDescent="0.3">
      <c r="B95" s="61" t="s">
        <v>25</v>
      </c>
      <c r="C95" s="65">
        <v>23.440860215053764</v>
      </c>
      <c r="D95" s="42">
        <v>39.047619047619051</v>
      </c>
      <c r="E95" s="42">
        <v>25.376344086021508</v>
      </c>
      <c r="F95" s="42">
        <v>22.444444444444443</v>
      </c>
      <c r="G95" s="42">
        <v>40</v>
      </c>
      <c r="H95" s="42">
        <v>35.333333333333336</v>
      </c>
      <c r="I95" s="42">
        <v>33.333333333333329</v>
      </c>
      <c r="J95" s="42" t="s">
        <v>22</v>
      </c>
      <c r="K95" s="42" t="s">
        <v>22</v>
      </c>
      <c r="L95" s="42" t="s">
        <v>22</v>
      </c>
      <c r="M95" s="42" t="s">
        <v>22</v>
      </c>
      <c r="N95" s="46" t="s">
        <v>22</v>
      </c>
      <c r="O95" s="47">
        <v>31.19496855345912</v>
      </c>
    </row>
    <row r="96" spans="2:15" ht="15.75" thickBot="1" x14ac:dyDescent="0.3">
      <c r="B96" s="59" t="s">
        <v>26</v>
      </c>
      <c r="C96" s="64">
        <v>1</v>
      </c>
      <c r="D96" s="41">
        <v>3</v>
      </c>
      <c r="E96" s="41">
        <v>3</v>
      </c>
      <c r="F96" s="41">
        <v>0</v>
      </c>
      <c r="G96" s="41">
        <v>4</v>
      </c>
      <c r="H96" s="41">
        <v>3</v>
      </c>
      <c r="I96" s="41">
        <v>2</v>
      </c>
      <c r="J96" s="41">
        <v>0</v>
      </c>
      <c r="K96" s="41">
        <v>0</v>
      </c>
      <c r="L96" s="41">
        <v>0</v>
      </c>
      <c r="M96" s="41">
        <v>0</v>
      </c>
      <c r="N96" s="45">
        <v>0</v>
      </c>
      <c r="O96" s="18">
        <v>16</v>
      </c>
    </row>
    <row r="97" spans="2:15" ht="15.75" thickBot="1" x14ac:dyDescent="0.3">
      <c r="B97" s="59" t="s">
        <v>52</v>
      </c>
      <c r="C97" s="20">
        <v>1</v>
      </c>
      <c r="D97" s="32">
        <v>2</v>
      </c>
      <c r="E97" s="32">
        <v>3</v>
      </c>
      <c r="F97" s="32">
        <v>0</v>
      </c>
      <c r="G97" s="32">
        <v>1</v>
      </c>
      <c r="H97" s="32">
        <v>2</v>
      </c>
      <c r="I97" s="32">
        <v>1</v>
      </c>
      <c r="J97" s="32">
        <v>0</v>
      </c>
      <c r="K97" s="32">
        <v>0</v>
      </c>
      <c r="L97" s="32">
        <v>0</v>
      </c>
      <c r="M97" s="32">
        <v>0</v>
      </c>
      <c r="N97" s="89">
        <v>0</v>
      </c>
      <c r="O97" s="18">
        <v>10</v>
      </c>
    </row>
    <row r="98" spans="2:15" ht="15.75" thickBot="1" x14ac:dyDescent="0.3">
      <c r="B98" s="59" t="s">
        <v>53</v>
      </c>
      <c r="C98" s="20">
        <v>0</v>
      </c>
      <c r="D98" s="32">
        <v>1</v>
      </c>
      <c r="E98" s="32">
        <v>0</v>
      </c>
      <c r="F98" s="32">
        <v>0</v>
      </c>
      <c r="G98" s="32">
        <v>3</v>
      </c>
      <c r="H98" s="32">
        <v>1</v>
      </c>
      <c r="I98" s="32">
        <v>1</v>
      </c>
      <c r="J98" s="32">
        <v>0</v>
      </c>
      <c r="K98" s="32">
        <v>0</v>
      </c>
      <c r="L98" s="32">
        <v>0</v>
      </c>
      <c r="M98" s="32">
        <v>0</v>
      </c>
      <c r="N98" s="89">
        <v>0</v>
      </c>
      <c r="O98" s="18">
        <v>6</v>
      </c>
    </row>
    <row r="99" spans="2:15" ht="15.75" thickBot="1" x14ac:dyDescent="0.3">
      <c r="B99" s="62" t="s">
        <v>31</v>
      </c>
      <c r="C99" s="24">
        <v>1</v>
      </c>
      <c r="D99" s="66">
        <v>2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92">
        <v>0</v>
      </c>
      <c r="O99" s="28">
        <v>3</v>
      </c>
    </row>
    <row r="100" spans="2:1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ht="15.75" thickBot="1" x14ac:dyDescent="0.3"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4"/>
      <c r="M101" s="1"/>
      <c r="N101" s="1"/>
      <c r="O101" s="1"/>
    </row>
    <row r="102" spans="2:15" ht="16.5" thickBot="1" x14ac:dyDescent="0.3">
      <c r="B102" s="1"/>
      <c r="C102" s="199" t="s">
        <v>49</v>
      </c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199">
        <v>2018</v>
      </c>
      <c r="O102" s="201"/>
    </row>
    <row r="103" spans="2:15" ht="15.75" thickBot="1" x14ac:dyDescent="0.3">
      <c r="B103" s="7"/>
      <c r="C103" s="39">
        <v>31</v>
      </c>
      <c r="D103" s="39">
        <v>28</v>
      </c>
      <c r="E103" s="39">
        <v>31</v>
      </c>
      <c r="F103" s="39">
        <v>30</v>
      </c>
      <c r="G103" s="39">
        <v>31</v>
      </c>
      <c r="H103" s="39">
        <v>30</v>
      </c>
      <c r="I103" s="39">
        <v>31</v>
      </c>
      <c r="J103" s="39">
        <v>31</v>
      </c>
      <c r="K103" s="39">
        <v>30</v>
      </c>
      <c r="L103" s="39">
        <v>31</v>
      </c>
      <c r="M103" s="39">
        <v>30</v>
      </c>
      <c r="N103" s="39">
        <v>31</v>
      </c>
      <c r="O103" s="86"/>
    </row>
    <row r="104" spans="2:15" ht="21.75" thickBot="1" x14ac:dyDescent="0.3">
      <c r="B104" s="10" t="s">
        <v>56</v>
      </c>
      <c r="C104" s="11" t="s">
        <v>1</v>
      </c>
      <c r="D104" s="12" t="s">
        <v>2</v>
      </c>
      <c r="E104" s="12" t="s">
        <v>3</v>
      </c>
      <c r="F104" s="12" t="s">
        <v>4</v>
      </c>
      <c r="G104" s="12" t="s">
        <v>5</v>
      </c>
      <c r="H104" s="12" t="s">
        <v>6</v>
      </c>
      <c r="I104" s="12" t="s">
        <v>7</v>
      </c>
      <c r="J104" s="12" t="s">
        <v>8</v>
      </c>
      <c r="K104" s="13" t="s">
        <v>9</v>
      </c>
      <c r="L104" s="13" t="s">
        <v>10</v>
      </c>
      <c r="M104" s="13" t="s">
        <v>11</v>
      </c>
      <c r="N104" s="13" t="s">
        <v>12</v>
      </c>
      <c r="O104" s="14" t="s">
        <v>13</v>
      </c>
    </row>
    <row r="105" spans="2:15" ht="15.75" thickBot="1" x14ac:dyDescent="0.3">
      <c r="B105" s="8" t="s">
        <v>14</v>
      </c>
      <c r="C105" s="44">
        <v>27</v>
      </c>
      <c r="D105" s="44">
        <v>27</v>
      </c>
      <c r="E105" s="44">
        <v>29</v>
      </c>
      <c r="F105" s="44">
        <v>28</v>
      </c>
      <c r="G105" s="44">
        <v>27</v>
      </c>
      <c r="H105" s="44">
        <v>28</v>
      </c>
      <c r="I105" s="44">
        <v>27</v>
      </c>
      <c r="J105" s="44"/>
      <c r="K105" s="44"/>
      <c r="L105" s="44"/>
      <c r="M105" s="44"/>
      <c r="N105" s="48"/>
      <c r="O105" s="88">
        <v>27.571428571428573</v>
      </c>
    </row>
    <row r="106" spans="2:15" ht="15.75" thickBot="1" x14ac:dyDescent="0.3">
      <c r="B106" s="8" t="s">
        <v>15</v>
      </c>
      <c r="C106" s="32">
        <v>101</v>
      </c>
      <c r="D106" s="21">
        <v>87</v>
      </c>
      <c r="E106" s="21">
        <v>77</v>
      </c>
      <c r="F106" s="3">
        <v>80</v>
      </c>
      <c r="G106" s="3">
        <v>105</v>
      </c>
      <c r="H106" s="3">
        <v>94</v>
      </c>
      <c r="I106" s="3">
        <v>98</v>
      </c>
      <c r="J106" s="3"/>
      <c r="K106" s="3"/>
      <c r="L106" s="3"/>
      <c r="M106" s="3"/>
      <c r="N106" s="33"/>
      <c r="O106" s="18">
        <v>642</v>
      </c>
    </row>
    <row r="107" spans="2:15" ht="15.75" thickBot="1" x14ac:dyDescent="0.3">
      <c r="B107" s="8" t="s">
        <v>16</v>
      </c>
      <c r="C107" s="32">
        <v>96</v>
      </c>
      <c r="D107" s="21">
        <v>96</v>
      </c>
      <c r="E107" s="21">
        <v>77</v>
      </c>
      <c r="F107" s="3">
        <v>75</v>
      </c>
      <c r="G107" s="3">
        <v>102</v>
      </c>
      <c r="H107" s="3">
        <v>97</v>
      </c>
      <c r="I107" s="3">
        <v>95</v>
      </c>
      <c r="J107" s="3"/>
      <c r="K107" s="3"/>
      <c r="L107" s="3"/>
      <c r="M107" s="3"/>
      <c r="N107" s="33"/>
      <c r="O107" s="18">
        <v>638</v>
      </c>
    </row>
    <row r="108" spans="2:15" ht="15.75" thickBot="1" x14ac:dyDescent="0.3">
      <c r="B108" s="8" t="s">
        <v>17</v>
      </c>
      <c r="C108" s="41">
        <v>837</v>
      </c>
      <c r="D108" s="41">
        <v>756</v>
      </c>
      <c r="E108" s="41">
        <v>899</v>
      </c>
      <c r="F108" s="41">
        <v>840</v>
      </c>
      <c r="G108" s="41">
        <v>837</v>
      </c>
      <c r="H108" s="41">
        <v>840</v>
      </c>
      <c r="I108" s="41">
        <v>837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18">
        <v>5846</v>
      </c>
    </row>
    <row r="109" spans="2:15" ht="15.75" thickBot="1" x14ac:dyDescent="0.3">
      <c r="B109" s="8" t="s">
        <v>18</v>
      </c>
      <c r="C109" s="32">
        <v>406</v>
      </c>
      <c r="D109" s="21">
        <v>283</v>
      </c>
      <c r="E109" s="21">
        <v>195</v>
      </c>
      <c r="F109" s="3">
        <v>260</v>
      </c>
      <c r="G109" s="3">
        <v>359</v>
      </c>
      <c r="H109" s="3">
        <v>343</v>
      </c>
      <c r="I109" s="3">
        <v>313</v>
      </c>
      <c r="J109" s="3"/>
      <c r="K109" s="3"/>
      <c r="L109" s="3"/>
      <c r="M109" s="3"/>
      <c r="N109" s="33"/>
      <c r="O109" s="18">
        <v>2159</v>
      </c>
    </row>
    <row r="110" spans="2:15" ht="15.75" thickBot="1" x14ac:dyDescent="0.3">
      <c r="B110" s="8" t="s">
        <v>19</v>
      </c>
      <c r="C110" s="32">
        <v>425</v>
      </c>
      <c r="D110" s="21">
        <v>328</v>
      </c>
      <c r="E110" s="21">
        <v>210</v>
      </c>
      <c r="F110" s="3">
        <v>271</v>
      </c>
      <c r="G110" s="3">
        <v>375</v>
      </c>
      <c r="H110" s="3">
        <v>362</v>
      </c>
      <c r="I110" s="3">
        <v>361</v>
      </c>
      <c r="J110" s="3"/>
      <c r="K110" s="3"/>
      <c r="L110" s="3"/>
      <c r="M110" s="3"/>
      <c r="N110" s="33"/>
      <c r="O110" s="18">
        <v>2332</v>
      </c>
    </row>
    <row r="111" spans="2:15" ht="15.75" thickBot="1" x14ac:dyDescent="0.3">
      <c r="B111" s="9" t="s">
        <v>51</v>
      </c>
      <c r="C111" s="75">
        <v>446</v>
      </c>
      <c r="D111" s="76">
        <v>283</v>
      </c>
      <c r="E111" s="76">
        <v>198</v>
      </c>
      <c r="F111" s="77">
        <v>280</v>
      </c>
      <c r="G111" s="76">
        <v>381</v>
      </c>
      <c r="H111" s="76">
        <v>383</v>
      </c>
      <c r="I111" s="76">
        <v>347</v>
      </c>
      <c r="J111" s="76"/>
      <c r="K111" s="76"/>
      <c r="L111" s="76"/>
      <c r="M111" s="76"/>
      <c r="N111" s="78"/>
      <c r="O111" s="18">
        <v>2318</v>
      </c>
    </row>
    <row r="112" spans="2:15" ht="15.75" thickBot="1" x14ac:dyDescent="0.3">
      <c r="B112" s="38" t="s">
        <v>21</v>
      </c>
      <c r="C112" s="70">
        <v>4.229166666666667</v>
      </c>
      <c r="D112" s="71">
        <v>2.9479166666666665</v>
      </c>
      <c r="E112" s="71">
        <v>2.5324675324675323</v>
      </c>
      <c r="F112" s="71">
        <v>3.4666666666666668</v>
      </c>
      <c r="G112" s="71">
        <v>3.5196078431372548</v>
      </c>
      <c r="H112" s="71">
        <v>3.536082474226804</v>
      </c>
      <c r="I112" s="71">
        <v>3.2947368421052632</v>
      </c>
      <c r="J112" s="71" t="s">
        <v>22</v>
      </c>
      <c r="K112" s="71" t="s">
        <v>22</v>
      </c>
      <c r="L112" s="71" t="s">
        <v>22</v>
      </c>
      <c r="M112" s="71" t="s">
        <v>22</v>
      </c>
      <c r="N112" s="73" t="s">
        <v>22</v>
      </c>
      <c r="O112" s="47">
        <v>3.3840125391849529</v>
      </c>
    </row>
    <row r="113" spans="2:15" ht="15.75" thickBot="1" x14ac:dyDescent="0.3">
      <c r="B113" s="38" t="s">
        <v>23</v>
      </c>
      <c r="C113" s="42">
        <v>3.5555555555555554</v>
      </c>
      <c r="D113" s="42">
        <v>3.5555555555555554</v>
      </c>
      <c r="E113" s="42">
        <v>2.6551724137931036</v>
      </c>
      <c r="F113" s="42">
        <v>2.6785714285714284</v>
      </c>
      <c r="G113" s="42">
        <v>3.7777777777777777</v>
      </c>
      <c r="H113" s="42">
        <v>3.4642857142857144</v>
      </c>
      <c r="I113" s="42">
        <v>3.5185185185185186</v>
      </c>
      <c r="J113" s="42" t="s">
        <v>22</v>
      </c>
      <c r="K113" s="42" t="s">
        <v>22</v>
      </c>
      <c r="L113" s="42" t="s">
        <v>22</v>
      </c>
      <c r="M113" s="42" t="s">
        <v>22</v>
      </c>
      <c r="N113" s="46" t="s">
        <v>22</v>
      </c>
      <c r="O113" s="87">
        <v>3.3056994818652847</v>
      </c>
    </row>
    <row r="114" spans="2:15" ht="15.75" thickBot="1" x14ac:dyDescent="0.3">
      <c r="B114" s="38" t="s">
        <v>24</v>
      </c>
      <c r="C114" s="42">
        <v>4.072916666666667</v>
      </c>
      <c r="D114" s="42">
        <v>4.927083333333333</v>
      </c>
      <c r="E114" s="42">
        <v>9.103896103896103</v>
      </c>
      <c r="F114" s="42">
        <v>7.4666666666666668</v>
      </c>
      <c r="G114" s="42">
        <v>4.4705882352941178</v>
      </c>
      <c r="H114" s="42">
        <v>4.7113402061855671</v>
      </c>
      <c r="I114" s="42">
        <v>5.1578947368421053</v>
      </c>
      <c r="J114" s="42" t="s">
        <v>22</v>
      </c>
      <c r="K114" s="42" t="s">
        <v>22</v>
      </c>
      <c r="L114" s="42" t="s">
        <v>22</v>
      </c>
      <c r="M114" s="42" t="s">
        <v>22</v>
      </c>
      <c r="N114" s="42" t="s">
        <v>22</v>
      </c>
      <c r="O114" s="47">
        <v>5.5297805642633229</v>
      </c>
    </row>
    <row r="115" spans="2:15" ht="15.75" thickBot="1" x14ac:dyDescent="0.3">
      <c r="B115" s="38" t="s">
        <v>25</v>
      </c>
      <c r="C115" s="42">
        <v>53.28554360812425</v>
      </c>
      <c r="D115" s="42">
        <v>37.433862433862437</v>
      </c>
      <c r="E115" s="42">
        <v>22.024471635150167</v>
      </c>
      <c r="F115" s="42">
        <v>33.333333333333329</v>
      </c>
      <c r="G115" s="42">
        <v>45.519713261648747</v>
      </c>
      <c r="H115" s="42">
        <v>45.595238095238095</v>
      </c>
      <c r="I115" s="42">
        <v>41.457586618876938</v>
      </c>
      <c r="J115" s="42" t="s">
        <v>22</v>
      </c>
      <c r="K115" s="42" t="s">
        <v>22</v>
      </c>
      <c r="L115" s="42" t="s">
        <v>22</v>
      </c>
      <c r="M115" s="42" t="s">
        <v>22</v>
      </c>
      <c r="N115" s="46" t="s">
        <v>22</v>
      </c>
      <c r="O115" s="47">
        <v>39.6510434485118</v>
      </c>
    </row>
    <row r="116" spans="2:15" ht="15.75" thickBot="1" x14ac:dyDescent="0.3">
      <c r="B116" s="8" t="s">
        <v>26</v>
      </c>
      <c r="C116" s="41">
        <v>0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18">
        <v>0</v>
      </c>
    </row>
    <row r="117" spans="2:15" ht="15.75" thickBot="1" x14ac:dyDescent="0.3">
      <c r="B117" s="8" t="s">
        <v>52</v>
      </c>
      <c r="C117" s="32">
        <v>0</v>
      </c>
      <c r="D117" s="21">
        <v>0</v>
      </c>
      <c r="E117" s="21">
        <v>0</v>
      </c>
      <c r="F117" s="3">
        <v>0</v>
      </c>
      <c r="G117" s="3">
        <v>0</v>
      </c>
      <c r="H117" s="3">
        <v>0</v>
      </c>
      <c r="I117" s="3">
        <v>0</v>
      </c>
      <c r="J117" s="3"/>
      <c r="K117" s="3"/>
      <c r="L117" s="3"/>
      <c r="M117" s="3"/>
      <c r="N117" s="33"/>
      <c r="O117" s="18">
        <v>0</v>
      </c>
    </row>
    <row r="118" spans="2:15" ht="15.75" thickBot="1" x14ac:dyDescent="0.3">
      <c r="B118" s="8" t="s">
        <v>53</v>
      </c>
      <c r="C118" s="32">
        <v>0</v>
      </c>
      <c r="D118" s="21">
        <v>0</v>
      </c>
      <c r="E118" s="21">
        <v>0</v>
      </c>
      <c r="F118" s="3">
        <v>0</v>
      </c>
      <c r="G118" s="3">
        <v>0</v>
      </c>
      <c r="H118" s="3">
        <v>0</v>
      </c>
      <c r="I118" s="3">
        <v>0</v>
      </c>
      <c r="J118" s="3"/>
      <c r="K118" s="3"/>
      <c r="L118" s="3"/>
      <c r="M118" s="3"/>
      <c r="N118" s="33"/>
      <c r="O118" s="18">
        <v>0</v>
      </c>
    </row>
    <row r="119" spans="2:15" ht="15.75" thickBot="1" x14ac:dyDescent="0.3">
      <c r="B119" s="15" t="s">
        <v>31</v>
      </c>
      <c r="C119" s="25">
        <v>0</v>
      </c>
      <c r="D119" s="25">
        <v>0</v>
      </c>
      <c r="E119" s="25">
        <v>0</v>
      </c>
      <c r="F119" s="34">
        <v>0</v>
      </c>
      <c r="G119" s="34">
        <v>0</v>
      </c>
      <c r="H119" s="34">
        <v>0</v>
      </c>
      <c r="I119" s="34">
        <v>0</v>
      </c>
      <c r="J119" s="34"/>
      <c r="K119" s="34"/>
      <c r="L119" s="34"/>
      <c r="M119" s="34"/>
      <c r="N119" s="35"/>
      <c r="O119" s="28">
        <v>0</v>
      </c>
    </row>
    <row r="120" spans="2:1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ht="15.75" thickBot="1" x14ac:dyDescent="0.3"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4"/>
      <c r="M121" s="1"/>
      <c r="N121" s="1"/>
      <c r="O121" s="1"/>
    </row>
    <row r="122" spans="2:15" ht="16.5" thickBot="1" x14ac:dyDescent="0.3">
      <c r="B122" s="1"/>
      <c r="C122" s="199" t="s">
        <v>49</v>
      </c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199">
        <v>2018</v>
      </c>
      <c r="O122" s="201"/>
    </row>
    <row r="123" spans="2:15" ht="15.75" thickBot="1" x14ac:dyDescent="0.3">
      <c r="B123" s="7"/>
      <c r="C123" s="39">
        <v>31</v>
      </c>
      <c r="D123" s="39">
        <v>28</v>
      </c>
      <c r="E123" s="39">
        <v>31</v>
      </c>
      <c r="F123" s="39">
        <v>30</v>
      </c>
      <c r="G123" s="39">
        <v>31</v>
      </c>
      <c r="H123" s="39">
        <v>30</v>
      </c>
      <c r="I123" s="39">
        <v>31</v>
      </c>
      <c r="J123" s="39">
        <v>31</v>
      </c>
      <c r="K123" s="39">
        <v>30</v>
      </c>
      <c r="L123" s="39">
        <v>31</v>
      </c>
      <c r="M123" s="39">
        <v>30</v>
      </c>
      <c r="N123" s="39">
        <v>31</v>
      </c>
      <c r="O123" s="86"/>
    </row>
    <row r="124" spans="2:15" ht="21.75" thickBot="1" x14ac:dyDescent="0.3">
      <c r="B124" s="10" t="s">
        <v>57</v>
      </c>
      <c r="C124" s="11" t="s">
        <v>1</v>
      </c>
      <c r="D124" s="12" t="s">
        <v>2</v>
      </c>
      <c r="E124" s="12" t="s">
        <v>3</v>
      </c>
      <c r="F124" s="12" t="s">
        <v>4</v>
      </c>
      <c r="G124" s="12" t="s">
        <v>5</v>
      </c>
      <c r="H124" s="12" t="s">
        <v>6</v>
      </c>
      <c r="I124" s="12" t="s">
        <v>7</v>
      </c>
      <c r="J124" s="12" t="s">
        <v>8</v>
      </c>
      <c r="K124" s="13" t="s">
        <v>9</v>
      </c>
      <c r="L124" s="13" t="s">
        <v>10</v>
      </c>
      <c r="M124" s="13" t="s">
        <v>11</v>
      </c>
      <c r="N124" s="13" t="s">
        <v>12</v>
      </c>
      <c r="O124" s="14" t="s">
        <v>13</v>
      </c>
    </row>
    <row r="125" spans="2:15" ht="15.75" thickBot="1" x14ac:dyDescent="0.3">
      <c r="B125" s="8" t="s">
        <v>14</v>
      </c>
      <c r="C125" s="44">
        <v>8</v>
      </c>
      <c r="D125" s="44">
        <v>8</v>
      </c>
      <c r="E125" s="44">
        <v>8</v>
      </c>
      <c r="F125" s="44">
        <v>8</v>
      </c>
      <c r="G125" s="44">
        <v>8</v>
      </c>
      <c r="H125" s="44">
        <v>8</v>
      </c>
      <c r="I125" s="44">
        <v>8</v>
      </c>
      <c r="J125" s="44"/>
      <c r="K125" s="44"/>
      <c r="L125" s="44"/>
      <c r="M125" s="44"/>
      <c r="N125" s="48"/>
      <c r="O125" s="36">
        <v>8</v>
      </c>
    </row>
    <row r="126" spans="2:15" ht="15.75" thickBot="1" x14ac:dyDescent="0.3">
      <c r="B126" s="8" t="s">
        <v>15</v>
      </c>
      <c r="C126" s="32">
        <v>44</v>
      </c>
      <c r="D126" s="21">
        <v>46</v>
      </c>
      <c r="E126" s="21">
        <v>35</v>
      </c>
      <c r="F126" s="3">
        <v>29</v>
      </c>
      <c r="G126" s="3">
        <v>33</v>
      </c>
      <c r="H126" s="3">
        <v>32</v>
      </c>
      <c r="I126" s="3">
        <v>31</v>
      </c>
      <c r="J126" s="3"/>
      <c r="K126" s="3"/>
      <c r="L126" s="3"/>
      <c r="M126" s="3"/>
      <c r="N126" s="33"/>
      <c r="O126" s="18">
        <v>250</v>
      </c>
    </row>
    <row r="127" spans="2:15" ht="15.75" thickBot="1" x14ac:dyDescent="0.3">
      <c r="B127" s="8" t="s">
        <v>16</v>
      </c>
      <c r="C127" s="32">
        <v>39</v>
      </c>
      <c r="D127" s="21">
        <v>48</v>
      </c>
      <c r="E127" s="21">
        <v>38</v>
      </c>
      <c r="F127" s="3">
        <v>31</v>
      </c>
      <c r="G127" s="3">
        <v>32</v>
      </c>
      <c r="H127" s="3">
        <v>34</v>
      </c>
      <c r="I127" s="3">
        <v>30</v>
      </c>
      <c r="J127" s="3"/>
      <c r="K127" s="3"/>
      <c r="L127" s="3"/>
      <c r="M127" s="3"/>
      <c r="N127" s="33"/>
      <c r="O127" s="18">
        <v>252</v>
      </c>
    </row>
    <row r="128" spans="2:15" ht="15.75" thickBot="1" x14ac:dyDescent="0.3">
      <c r="B128" s="8" t="s">
        <v>17</v>
      </c>
      <c r="C128" s="41">
        <v>248</v>
      </c>
      <c r="D128" s="41">
        <v>224</v>
      </c>
      <c r="E128" s="41">
        <v>248</v>
      </c>
      <c r="F128" s="41">
        <v>240</v>
      </c>
      <c r="G128" s="41">
        <v>248</v>
      </c>
      <c r="H128" s="41">
        <v>240</v>
      </c>
      <c r="I128" s="41">
        <v>248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18">
        <v>1696</v>
      </c>
    </row>
    <row r="129" spans="2:15" ht="15.75" thickBot="1" x14ac:dyDescent="0.3">
      <c r="B129" s="8" t="s">
        <v>18</v>
      </c>
      <c r="C129" s="32">
        <v>146</v>
      </c>
      <c r="D129" s="21">
        <v>135</v>
      </c>
      <c r="E129" s="21">
        <v>144</v>
      </c>
      <c r="F129" s="3">
        <v>100</v>
      </c>
      <c r="G129" s="3">
        <v>115</v>
      </c>
      <c r="H129" s="3">
        <v>109</v>
      </c>
      <c r="I129" s="3">
        <v>130</v>
      </c>
      <c r="J129" s="3"/>
      <c r="K129" s="3"/>
      <c r="L129" s="3"/>
      <c r="M129" s="3"/>
      <c r="N129" s="33"/>
      <c r="O129" s="18">
        <v>879</v>
      </c>
    </row>
    <row r="130" spans="2:15" ht="15.75" thickBot="1" x14ac:dyDescent="0.3">
      <c r="B130" s="8" t="s">
        <v>19</v>
      </c>
      <c r="C130" s="32">
        <v>151</v>
      </c>
      <c r="D130" s="21">
        <v>152</v>
      </c>
      <c r="E130" s="21">
        <v>160</v>
      </c>
      <c r="F130" s="3">
        <v>107</v>
      </c>
      <c r="G130" s="3">
        <v>115</v>
      </c>
      <c r="H130" s="3">
        <v>127</v>
      </c>
      <c r="I130" s="3">
        <v>160</v>
      </c>
      <c r="J130" s="3"/>
      <c r="K130" s="3"/>
      <c r="L130" s="3"/>
      <c r="M130" s="3"/>
      <c r="N130" s="33"/>
      <c r="O130" s="18">
        <v>972</v>
      </c>
    </row>
    <row r="131" spans="2:15" ht="15.75" thickBot="1" x14ac:dyDescent="0.3">
      <c r="B131" s="9" t="s">
        <v>51</v>
      </c>
      <c r="C131" s="75">
        <v>155</v>
      </c>
      <c r="D131" s="76">
        <v>143</v>
      </c>
      <c r="E131" s="76">
        <v>147</v>
      </c>
      <c r="F131" s="77">
        <v>94</v>
      </c>
      <c r="G131" s="76">
        <v>129</v>
      </c>
      <c r="H131" s="76">
        <v>103</v>
      </c>
      <c r="I131" s="76">
        <v>118</v>
      </c>
      <c r="J131" s="76"/>
      <c r="K131" s="76"/>
      <c r="L131" s="76"/>
      <c r="M131" s="76"/>
      <c r="N131" s="78"/>
      <c r="O131" s="18">
        <v>889</v>
      </c>
    </row>
    <row r="132" spans="2:15" ht="15.75" thickBot="1" x14ac:dyDescent="0.3">
      <c r="B132" s="38" t="s">
        <v>21</v>
      </c>
      <c r="C132" s="70">
        <v>3.7435897435897436</v>
      </c>
      <c r="D132" s="71">
        <v>2.8125</v>
      </c>
      <c r="E132" s="71">
        <v>3.7894736842105261</v>
      </c>
      <c r="F132" s="71">
        <v>3.225806451612903</v>
      </c>
      <c r="G132" s="71">
        <v>3.59375</v>
      </c>
      <c r="H132" s="71">
        <v>3.2058823529411766</v>
      </c>
      <c r="I132" s="71">
        <v>4.333333333333333</v>
      </c>
      <c r="J132" s="71" t="s">
        <v>22</v>
      </c>
      <c r="K132" s="71" t="s">
        <v>22</v>
      </c>
      <c r="L132" s="71" t="s">
        <v>22</v>
      </c>
      <c r="M132" s="71" t="s">
        <v>22</v>
      </c>
      <c r="N132" s="73" t="s">
        <v>22</v>
      </c>
      <c r="O132" s="47">
        <v>3.4880952380952381</v>
      </c>
    </row>
    <row r="133" spans="2:15" ht="15.75" thickBot="1" x14ac:dyDescent="0.3">
      <c r="B133" s="38" t="s">
        <v>23</v>
      </c>
      <c r="C133" s="42">
        <v>4.875</v>
      </c>
      <c r="D133" s="42">
        <v>6</v>
      </c>
      <c r="E133" s="42">
        <v>4.75</v>
      </c>
      <c r="F133" s="42">
        <v>3.875</v>
      </c>
      <c r="G133" s="42">
        <v>4</v>
      </c>
      <c r="H133" s="42">
        <v>4.25</v>
      </c>
      <c r="I133" s="42">
        <v>3.75</v>
      </c>
      <c r="J133" s="42" t="s">
        <v>22</v>
      </c>
      <c r="K133" s="42" t="s">
        <v>22</v>
      </c>
      <c r="L133" s="42" t="s">
        <v>22</v>
      </c>
      <c r="M133" s="42" t="s">
        <v>22</v>
      </c>
      <c r="N133" s="46" t="s">
        <v>22</v>
      </c>
      <c r="O133" s="87">
        <v>4.5</v>
      </c>
    </row>
    <row r="134" spans="2:15" ht="15.75" thickBot="1" x14ac:dyDescent="0.3">
      <c r="B134" s="38" t="s">
        <v>24</v>
      </c>
      <c r="C134" s="42">
        <v>2.3846153846153846</v>
      </c>
      <c r="D134" s="42">
        <v>1.6875</v>
      </c>
      <c r="E134" s="42">
        <v>2.6578947368421053</v>
      </c>
      <c r="F134" s="42">
        <v>4.709677419354839</v>
      </c>
      <c r="G134" s="42">
        <v>3.71875</v>
      </c>
      <c r="H134" s="42">
        <v>4.0294117647058822</v>
      </c>
      <c r="I134" s="42">
        <v>4.333333333333333</v>
      </c>
      <c r="J134" s="42" t="s">
        <v>22</v>
      </c>
      <c r="K134" s="42" t="s">
        <v>22</v>
      </c>
      <c r="L134" s="42" t="s">
        <v>22</v>
      </c>
      <c r="M134" s="42" t="s">
        <v>22</v>
      </c>
      <c r="N134" s="42" t="s">
        <v>22</v>
      </c>
      <c r="O134" s="47">
        <v>3.2023809523809526</v>
      </c>
    </row>
    <row r="135" spans="2:15" ht="15.75" thickBot="1" x14ac:dyDescent="0.3">
      <c r="B135" s="38" t="s">
        <v>25</v>
      </c>
      <c r="C135" s="42">
        <v>62.5</v>
      </c>
      <c r="D135" s="42">
        <v>63.839285714285708</v>
      </c>
      <c r="E135" s="42">
        <v>59.274193548387103</v>
      </c>
      <c r="F135" s="42">
        <v>39.166666666666664</v>
      </c>
      <c r="G135" s="42">
        <v>52.016129032258064</v>
      </c>
      <c r="H135" s="42">
        <v>42.916666666666664</v>
      </c>
      <c r="I135" s="42">
        <v>47.580645161290327</v>
      </c>
      <c r="J135" s="42" t="s">
        <v>22</v>
      </c>
      <c r="K135" s="42" t="s">
        <v>22</v>
      </c>
      <c r="L135" s="42" t="s">
        <v>22</v>
      </c>
      <c r="M135" s="42" t="s">
        <v>22</v>
      </c>
      <c r="N135" s="46" t="s">
        <v>22</v>
      </c>
      <c r="O135" s="47">
        <v>52.41745283018868</v>
      </c>
    </row>
    <row r="136" spans="2:15" ht="15.75" thickBot="1" x14ac:dyDescent="0.3">
      <c r="B136" s="8" t="s">
        <v>26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1">
        <v>0</v>
      </c>
      <c r="K136" s="41">
        <v>0</v>
      </c>
      <c r="L136" s="41">
        <v>0</v>
      </c>
      <c r="M136" s="41">
        <v>0</v>
      </c>
      <c r="N136" s="41">
        <v>0</v>
      </c>
      <c r="O136" s="18">
        <v>0</v>
      </c>
    </row>
    <row r="137" spans="2:15" ht="15.75" thickBot="1" x14ac:dyDescent="0.3">
      <c r="B137" s="8" t="s">
        <v>52</v>
      </c>
      <c r="C137" s="32">
        <v>0</v>
      </c>
      <c r="D137" s="21">
        <v>0</v>
      </c>
      <c r="E137" s="21">
        <v>0</v>
      </c>
      <c r="F137" s="3">
        <v>0</v>
      </c>
      <c r="G137" s="3">
        <v>0</v>
      </c>
      <c r="H137" s="3">
        <v>0</v>
      </c>
      <c r="I137" s="3">
        <v>0</v>
      </c>
      <c r="J137" s="3"/>
      <c r="K137" s="3"/>
      <c r="L137" s="3"/>
      <c r="M137" s="3"/>
      <c r="N137" s="33"/>
      <c r="O137" s="18">
        <v>0</v>
      </c>
    </row>
    <row r="138" spans="2:15" ht="15.75" thickBot="1" x14ac:dyDescent="0.3">
      <c r="B138" s="8" t="s">
        <v>53</v>
      </c>
      <c r="C138" s="32">
        <v>0</v>
      </c>
      <c r="D138" s="21">
        <v>0</v>
      </c>
      <c r="E138" s="21">
        <v>0</v>
      </c>
      <c r="F138" s="3">
        <v>0</v>
      </c>
      <c r="G138" s="3">
        <v>0</v>
      </c>
      <c r="H138" s="3">
        <v>0</v>
      </c>
      <c r="I138" s="3">
        <v>0</v>
      </c>
      <c r="J138" s="3"/>
      <c r="K138" s="3"/>
      <c r="L138" s="3"/>
      <c r="M138" s="3"/>
      <c r="N138" s="33"/>
      <c r="O138" s="18">
        <v>0</v>
      </c>
    </row>
    <row r="139" spans="2:15" ht="15.75" thickBot="1" x14ac:dyDescent="0.3">
      <c r="B139" s="15" t="s">
        <v>31</v>
      </c>
      <c r="C139" s="25">
        <v>0</v>
      </c>
      <c r="D139" s="25">
        <v>0</v>
      </c>
      <c r="E139" s="25">
        <v>0</v>
      </c>
      <c r="F139" s="34">
        <v>0</v>
      </c>
      <c r="G139" s="34">
        <v>0</v>
      </c>
      <c r="H139" s="34">
        <v>0</v>
      </c>
      <c r="I139" s="34">
        <v>0</v>
      </c>
      <c r="J139" s="34"/>
      <c r="K139" s="34"/>
      <c r="L139" s="34"/>
      <c r="M139" s="34"/>
      <c r="N139" s="35"/>
      <c r="O139" s="28">
        <v>0</v>
      </c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ht="15.75" thickBot="1" x14ac:dyDescent="0.3"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1"/>
    </row>
    <row r="142" spans="2:15" ht="16.5" thickBot="1" x14ac:dyDescent="0.3">
      <c r="B142" s="1"/>
      <c r="C142" s="199" t="s">
        <v>49</v>
      </c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199">
        <v>2018</v>
      </c>
      <c r="O142" s="201"/>
    </row>
    <row r="143" spans="2:15" ht="15.75" thickBot="1" x14ac:dyDescent="0.3">
      <c r="B143" s="7"/>
      <c r="C143" s="39">
        <v>31</v>
      </c>
      <c r="D143" s="39">
        <v>28</v>
      </c>
      <c r="E143" s="39">
        <v>31</v>
      </c>
      <c r="F143" s="39">
        <v>30</v>
      </c>
      <c r="G143" s="39">
        <v>31</v>
      </c>
      <c r="H143" s="39">
        <v>30</v>
      </c>
      <c r="I143" s="39">
        <v>31</v>
      </c>
      <c r="J143" s="39">
        <v>31</v>
      </c>
      <c r="K143" s="39">
        <v>30</v>
      </c>
      <c r="L143" s="39">
        <v>31</v>
      </c>
      <c r="M143" s="39">
        <v>30</v>
      </c>
      <c r="N143" s="39">
        <v>31</v>
      </c>
      <c r="O143" s="40"/>
    </row>
    <row r="144" spans="2:15" ht="21.75" thickBot="1" x14ac:dyDescent="0.3">
      <c r="B144" s="10" t="s">
        <v>58</v>
      </c>
      <c r="C144" s="11" t="s">
        <v>1</v>
      </c>
      <c r="D144" s="12" t="s">
        <v>2</v>
      </c>
      <c r="E144" s="12" t="s">
        <v>3</v>
      </c>
      <c r="F144" s="12" t="s">
        <v>4</v>
      </c>
      <c r="G144" s="12" t="s">
        <v>5</v>
      </c>
      <c r="H144" s="12" t="s">
        <v>6</v>
      </c>
      <c r="I144" s="12" t="s">
        <v>7</v>
      </c>
      <c r="J144" s="12" t="s">
        <v>8</v>
      </c>
      <c r="K144" s="13" t="s">
        <v>9</v>
      </c>
      <c r="L144" s="13" t="s">
        <v>10</v>
      </c>
      <c r="M144" s="13" t="s">
        <v>11</v>
      </c>
      <c r="N144" s="13" t="s">
        <v>12</v>
      </c>
      <c r="O144" s="37" t="s">
        <v>13</v>
      </c>
    </row>
    <row r="145" spans="2:15" ht="15.75" thickBot="1" x14ac:dyDescent="0.3">
      <c r="B145" s="8" t="s">
        <v>14</v>
      </c>
      <c r="C145" s="44">
        <v>30</v>
      </c>
      <c r="D145" s="44">
        <v>30</v>
      </c>
      <c r="E145" s="44">
        <v>30</v>
      </c>
      <c r="F145" s="44">
        <v>30</v>
      </c>
      <c r="G145" s="44">
        <v>30</v>
      </c>
      <c r="H145" s="44">
        <v>30</v>
      </c>
      <c r="I145" s="44">
        <v>30</v>
      </c>
      <c r="J145" s="44"/>
      <c r="K145" s="44"/>
      <c r="L145" s="44"/>
      <c r="M145" s="44"/>
      <c r="N145" s="48"/>
      <c r="O145" s="36">
        <v>30</v>
      </c>
    </row>
    <row r="146" spans="2:15" ht="15.75" thickBot="1" x14ac:dyDescent="0.3">
      <c r="B146" s="8" t="s">
        <v>15</v>
      </c>
      <c r="C146" s="29">
        <v>401</v>
      </c>
      <c r="D146" s="30">
        <v>345</v>
      </c>
      <c r="E146" s="30">
        <v>357</v>
      </c>
      <c r="F146" s="30">
        <v>372</v>
      </c>
      <c r="G146" s="30">
        <v>375</v>
      </c>
      <c r="H146" s="30">
        <v>351</v>
      </c>
      <c r="I146" s="30">
        <v>368</v>
      </c>
      <c r="J146" s="30"/>
      <c r="K146" s="30"/>
      <c r="L146" s="30"/>
      <c r="M146" s="30"/>
      <c r="N146" s="31"/>
      <c r="O146" s="18">
        <v>2569</v>
      </c>
    </row>
    <row r="147" spans="2:15" ht="15.75" thickBot="1" x14ac:dyDescent="0.3">
      <c r="B147" s="8" t="s">
        <v>16</v>
      </c>
      <c r="C147" s="29">
        <v>389</v>
      </c>
      <c r="D147" s="30">
        <v>346</v>
      </c>
      <c r="E147" s="30">
        <v>359</v>
      </c>
      <c r="F147" s="30">
        <v>370</v>
      </c>
      <c r="G147" s="30">
        <v>371</v>
      </c>
      <c r="H147" s="30">
        <v>355</v>
      </c>
      <c r="I147" s="30">
        <v>372</v>
      </c>
      <c r="J147" s="30"/>
      <c r="K147" s="30"/>
      <c r="L147" s="30"/>
      <c r="M147" s="30"/>
      <c r="N147" s="31"/>
      <c r="O147" s="18">
        <v>2562</v>
      </c>
    </row>
    <row r="148" spans="2:15" ht="15.75" thickBot="1" x14ac:dyDescent="0.3">
      <c r="B148" s="8" t="s">
        <v>17</v>
      </c>
      <c r="C148" s="44">
        <v>930</v>
      </c>
      <c r="D148" s="44">
        <v>840</v>
      </c>
      <c r="E148" s="44">
        <v>930</v>
      </c>
      <c r="F148" s="44">
        <v>900</v>
      </c>
      <c r="G148" s="44">
        <v>930</v>
      </c>
      <c r="H148" s="44">
        <v>900</v>
      </c>
      <c r="I148" s="44">
        <v>930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18">
        <v>6360</v>
      </c>
    </row>
    <row r="149" spans="2:15" ht="15.75" thickBot="1" x14ac:dyDescent="0.3">
      <c r="B149" s="8" t="s">
        <v>18</v>
      </c>
      <c r="C149" s="29">
        <v>779</v>
      </c>
      <c r="D149" s="30">
        <v>705</v>
      </c>
      <c r="E149" s="30">
        <v>706</v>
      </c>
      <c r="F149" s="30">
        <v>725</v>
      </c>
      <c r="G149" s="30">
        <v>716</v>
      </c>
      <c r="H149" s="30">
        <v>714</v>
      </c>
      <c r="I149" s="30">
        <v>741</v>
      </c>
      <c r="J149" s="30"/>
      <c r="K149" s="30"/>
      <c r="L149" s="30"/>
      <c r="M149" s="30"/>
      <c r="N149" s="31"/>
      <c r="O149" s="18">
        <v>5086</v>
      </c>
    </row>
    <row r="150" spans="2:15" ht="15.75" thickBot="1" x14ac:dyDescent="0.3">
      <c r="B150" s="8" t="s">
        <v>19</v>
      </c>
      <c r="C150" s="29">
        <v>781</v>
      </c>
      <c r="D150" s="30">
        <v>718</v>
      </c>
      <c r="E150" s="30">
        <v>740</v>
      </c>
      <c r="F150" s="30">
        <v>742</v>
      </c>
      <c r="G150" s="30">
        <v>743</v>
      </c>
      <c r="H150" s="30">
        <v>736</v>
      </c>
      <c r="I150" s="30">
        <v>785</v>
      </c>
      <c r="J150" s="30"/>
      <c r="K150" s="30"/>
      <c r="L150" s="30"/>
      <c r="M150" s="30"/>
      <c r="N150" s="31"/>
      <c r="O150" s="18">
        <v>5245</v>
      </c>
    </row>
    <row r="151" spans="2:15" ht="15.75" thickBot="1" x14ac:dyDescent="0.3">
      <c r="B151" s="8" t="s">
        <v>59</v>
      </c>
      <c r="C151" s="80">
        <v>745</v>
      </c>
      <c r="D151" s="81">
        <v>711</v>
      </c>
      <c r="E151" s="81">
        <v>685</v>
      </c>
      <c r="F151" s="81">
        <v>713</v>
      </c>
      <c r="G151" s="81">
        <v>674</v>
      </c>
      <c r="H151" s="81">
        <v>673</v>
      </c>
      <c r="I151" s="81">
        <v>721</v>
      </c>
      <c r="J151" s="81"/>
      <c r="K151" s="81"/>
      <c r="L151" s="81"/>
      <c r="M151" s="81"/>
      <c r="N151" s="82"/>
      <c r="O151" s="18">
        <v>4922</v>
      </c>
    </row>
    <row r="152" spans="2:15" ht="15.75" thickBot="1" x14ac:dyDescent="0.3">
      <c r="B152" s="38" t="s">
        <v>21</v>
      </c>
      <c r="C152" s="70">
        <v>2.0025706940874035</v>
      </c>
      <c r="D152" s="71">
        <v>2.0375722543352599</v>
      </c>
      <c r="E152" s="71">
        <v>1.9665738161559889</v>
      </c>
      <c r="F152" s="71">
        <v>1.9594594594594594</v>
      </c>
      <c r="G152" s="71">
        <v>1.9299191374663074</v>
      </c>
      <c r="H152" s="71">
        <v>2.0112676056338028</v>
      </c>
      <c r="I152" s="71">
        <v>1.9919354838709677</v>
      </c>
      <c r="J152" s="71" t="s">
        <v>22</v>
      </c>
      <c r="K152" s="71" t="s">
        <v>22</v>
      </c>
      <c r="L152" s="71" t="s">
        <v>22</v>
      </c>
      <c r="M152" s="71" t="s">
        <v>22</v>
      </c>
      <c r="N152" s="73" t="s">
        <v>22</v>
      </c>
      <c r="O152" s="47">
        <v>1.985167837626854</v>
      </c>
    </row>
    <row r="153" spans="2:15" ht="15.75" thickBot="1" x14ac:dyDescent="0.3">
      <c r="B153" s="38" t="s">
        <v>23</v>
      </c>
      <c r="C153" s="42">
        <v>12.966666666666667</v>
      </c>
      <c r="D153" s="42">
        <v>11.533333333333333</v>
      </c>
      <c r="E153" s="42">
        <v>11.966666666666667</v>
      </c>
      <c r="F153" s="42">
        <v>12.333333333333334</v>
      </c>
      <c r="G153" s="42">
        <v>12.366666666666667</v>
      </c>
      <c r="H153" s="42">
        <v>11.833333333333334</v>
      </c>
      <c r="I153" s="42">
        <v>12.4</v>
      </c>
      <c r="J153" s="42" t="s">
        <v>22</v>
      </c>
      <c r="K153" s="42" t="s">
        <v>22</v>
      </c>
      <c r="L153" s="42" t="s">
        <v>22</v>
      </c>
      <c r="M153" s="42" t="s">
        <v>22</v>
      </c>
      <c r="N153" s="46" t="s">
        <v>22</v>
      </c>
      <c r="O153" s="87">
        <v>12.2</v>
      </c>
    </row>
    <row r="154" spans="2:15" ht="15.75" thickBot="1" x14ac:dyDescent="0.3">
      <c r="B154" s="38" t="s">
        <v>24</v>
      </c>
      <c r="C154" s="42">
        <v>0.47557840616966579</v>
      </c>
      <c r="D154" s="42">
        <v>0.37283236994219654</v>
      </c>
      <c r="E154" s="42">
        <v>0.68245125348189417</v>
      </c>
      <c r="F154" s="42">
        <v>0.50540540540540535</v>
      </c>
      <c r="G154" s="42">
        <v>0.69002695417789761</v>
      </c>
      <c r="H154" s="42">
        <v>0.6394366197183099</v>
      </c>
      <c r="I154" s="42">
        <v>0.56182795698924726</v>
      </c>
      <c r="J154" s="42" t="s">
        <v>22</v>
      </c>
      <c r="K154" s="42" t="s">
        <v>22</v>
      </c>
      <c r="L154" s="42" t="s">
        <v>22</v>
      </c>
      <c r="M154" s="42" t="s">
        <v>22</v>
      </c>
      <c r="N154" s="42" t="s">
        <v>22</v>
      </c>
      <c r="O154" s="99">
        <v>0.56128024980483993</v>
      </c>
    </row>
    <row r="155" spans="2:15" ht="15.75" thickBot="1" x14ac:dyDescent="0.3">
      <c r="B155" s="38" t="s">
        <v>25</v>
      </c>
      <c r="C155" s="42">
        <v>80.107526881720432</v>
      </c>
      <c r="D155" s="42">
        <v>84.642857142857139</v>
      </c>
      <c r="E155" s="42">
        <v>73.655913978494624</v>
      </c>
      <c r="F155" s="42">
        <v>79.222222222222229</v>
      </c>
      <c r="G155" s="42">
        <v>72.473118279569889</v>
      </c>
      <c r="H155" s="42">
        <v>74.777777777777771</v>
      </c>
      <c r="I155" s="42">
        <v>77.526881720430111</v>
      </c>
      <c r="J155" s="42" t="s">
        <v>22</v>
      </c>
      <c r="K155" s="42" t="s">
        <v>22</v>
      </c>
      <c r="L155" s="42" t="s">
        <v>22</v>
      </c>
      <c r="M155" s="42" t="s">
        <v>22</v>
      </c>
      <c r="N155" s="46" t="s">
        <v>22</v>
      </c>
      <c r="O155" s="47">
        <v>77.389937106918239</v>
      </c>
    </row>
    <row r="156" spans="2:15" ht="15.75" thickBot="1" x14ac:dyDescent="0.3">
      <c r="B156" s="8" t="s">
        <v>26</v>
      </c>
      <c r="C156" s="98">
        <v>0</v>
      </c>
      <c r="D156" s="44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8">
        <v>0</v>
      </c>
      <c r="O156" s="16">
        <v>0</v>
      </c>
    </row>
    <row r="157" spans="2:15" ht="15.75" thickBot="1" x14ac:dyDescent="0.3">
      <c r="B157" s="8" t="s">
        <v>27</v>
      </c>
      <c r="C157" s="49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/>
      <c r="K157" s="50"/>
      <c r="L157" s="50"/>
      <c r="M157" s="50"/>
      <c r="N157" s="56"/>
      <c r="O157" s="16">
        <v>0</v>
      </c>
    </row>
    <row r="158" spans="2:15" ht="15.75" thickBot="1" x14ac:dyDescent="0.3">
      <c r="B158" s="8" t="s">
        <v>28</v>
      </c>
      <c r="C158" s="49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/>
      <c r="K158" s="50"/>
      <c r="L158" s="50"/>
      <c r="M158" s="50"/>
      <c r="N158" s="56"/>
      <c r="O158" s="16">
        <v>0</v>
      </c>
    </row>
    <row r="159" spans="2:15" ht="15.75" thickBot="1" x14ac:dyDescent="0.3">
      <c r="B159" s="8" t="s">
        <v>31</v>
      </c>
      <c r="C159" s="49">
        <v>3</v>
      </c>
      <c r="D159" s="50">
        <v>2</v>
      </c>
      <c r="E159" s="50">
        <v>2</v>
      </c>
      <c r="F159" s="50">
        <v>1</v>
      </c>
      <c r="G159" s="50">
        <v>2</v>
      </c>
      <c r="H159" s="50">
        <v>2</v>
      </c>
      <c r="I159" s="50">
        <v>2</v>
      </c>
      <c r="J159" s="50"/>
      <c r="K159" s="50"/>
      <c r="L159" s="50"/>
      <c r="M159" s="50"/>
      <c r="N159" s="56"/>
      <c r="O159" s="16">
        <v>14</v>
      </c>
    </row>
    <row r="160" spans="2:15" ht="15.75" thickBot="1" x14ac:dyDescent="0.3">
      <c r="B160" s="8" t="s">
        <v>60</v>
      </c>
      <c r="C160" s="49">
        <v>282</v>
      </c>
      <c r="D160" s="50">
        <v>245</v>
      </c>
      <c r="E160" s="50">
        <v>257</v>
      </c>
      <c r="F160" s="50">
        <v>259</v>
      </c>
      <c r="G160" s="50">
        <v>261</v>
      </c>
      <c r="H160" s="50">
        <v>252</v>
      </c>
      <c r="I160" s="50">
        <v>264</v>
      </c>
      <c r="J160" s="50"/>
      <c r="K160" s="50"/>
      <c r="L160" s="50"/>
      <c r="M160" s="50"/>
      <c r="N160" s="56"/>
      <c r="O160" s="16">
        <v>1820</v>
      </c>
    </row>
    <row r="161" spans="2:15" ht="15.75" thickBot="1" x14ac:dyDescent="0.3">
      <c r="B161" s="8" t="s">
        <v>34</v>
      </c>
      <c r="C161" s="49">
        <v>283</v>
      </c>
      <c r="D161" s="50">
        <v>245</v>
      </c>
      <c r="E161" s="50">
        <v>258</v>
      </c>
      <c r="F161" s="50">
        <v>258</v>
      </c>
      <c r="G161" s="50">
        <v>263</v>
      </c>
      <c r="H161" s="50">
        <v>250</v>
      </c>
      <c r="I161" s="50">
        <v>266</v>
      </c>
      <c r="J161" s="50"/>
      <c r="K161" s="50"/>
      <c r="L161" s="50"/>
      <c r="M161" s="50"/>
      <c r="N161" s="56"/>
      <c r="O161" s="16">
        <v>1823</v>
      </c>
    </row>
    <row r="162" spans="2:15" ht="15.75" thickBot="1" x14ac:dyDescent="0.3">
      <c r="B162" s="8" t="s">
        <v>35</v>
      </c>
      <c r="C162" s="49">
        <v>54</v>
      </c>
      <c r="D162" s="50">
        <v>43</v>
      </c>
      <c r="E162" s="50">
        <v>50</v>
      </c>
      <c r="F162" s="50">
        <v>43</v>
      </c>
      <c r="G162" s="50">
        <v>51</v>
      </c>
      <c r="H162" s="50">
        <v>44</v>
      </c>
      <c r="I162" s="50">
        <v>46</v>
      </c>
      <c r="J162" s="50"/>
      <c r="K162" s="50"/>
      <c r="L162" s="50"/>
      <c r="M162" s="50"/>
      <c r="N162" s="56"/>
      <c r="O162" s="16">
        <v>331</v>
      </c>
    </row>
    <row r="163" spans="2:15" ht="15.75" thickBot="1" x14ac:dyDescent="0.3">
      <c r="B163" s="8" t="s">
        <v>36</v>
      </c>
      <c r="C163" s="49">
        <v>124</v>
      </c>
      <c r="D163" s="50">
        <v>83</v>
      </c>
      <c r="E163" s="50">
        <v>93</v>
      </c>
      <c r="F163" s="50">
        <v>93</v>
      </c>
      <c r="G163" s="50">
        <v>98</v>
      </c>
      <c r="H163" s="50">
        <v>94</v>
      </c>
      <c r="I163" s="50">
        <v>107</v>
      </c>
      <c r="J163" s="50"/>
      <c r="K163" s="50"/>
      <c r="L163" s="50"/>
      <c r="M163" s="50"/>
      <c r="N163" s="56"/>
      <c r="O163" s="16">
        <v>692</v>
      </c>
    </row>
    <row r="164" spans="2:15" ht="15.75" thickBot="1" x14ac:dyDescent="0.3">
      <c r="B164" s="8" t="s">
        <v>37</v>
      </c>
      <c r="C164" s="49">
        <v>52</v>
      </c>
      <c r="D164" s="50">
        <v>41</v>
      </c>
      <c r="E164" s="50">
        <v>49</v>
      </c>
      <c r="F164" s="50">
        <v>38</v>
      </c>
      <c r="G164" s="50">
        <v>49</v>
      </c>
      <c r="H164" s="50">
        <v>40</v>
      </c>
      <c r="I164" s="50">
        <v>44</v>
      </c>
      <c r="J164" s="50"/>
      <c r="K164" s="50"/>
      <c r="L164" s="50"/>
      <c r="M164" s="50"/>
      <c r="N164" s="56"/>
      <c r="O164" s="16">
        <v>313</v>
      </c>
    </row>
    <row r="165" spans="2:15" ht="15.75" thickBot="1" x14ac:dyDescent="0.3">
      <c r="B165" s="8" t="s">
        <v>38</v>
      </c>
      <c r="C165" s="51">
        <v>2</v>
      </c>
      <c r="D165" s="23">
        <v>2</v>
      </c>
      <c r="E165" s="23">
        <v>1</v>
      </c>
      <c r="F165" s="52">
        <v>5</v>
      </c>
      <c r="G165" s="52">
        <v>2</v>
      </c>
      <c r="H165" s="52">
        <v>4</v>
      </c>
      <c r="I165" s="52">
        <v>2</v>
      </c>
      <c r="J165" s="52"/>
      <c r="K165" s="52"/>
      <c r="L165" s="52"/>
      <c r="M165" s="52"/>
      <c r="N165" s="57"/>
      <c r="O165" s="16">
        <v>18</v>
      </c>
    </row>
    <row r="166" spans="2:15" ht="15.75" thickBot="1" x14ac:dyDescent="0.3">
      <c r="B166" s="8" t="s">
        <v>39</v>
      </c>
      <c r="C166" s="51">
        <v>2</v>
      </c>
      <c r="D166" s="23">
        <v>6</v>
      </c>
      <c r="E166" s="23">
        <v>6</v>
      </c>
      <c r="F166" s="52">
        <v>6</v>
      </c>
      <c r="G166" s="52">
        <v>3</v>
      </c>
      <c r="H166" s="52">
        <v>6</v>
      </c>
      <c r="I166" s="52">
        <v>5</v>
      </c>
      <c r="J166" s="52"/>
      <c r="K166" s="52"/>
      <c r="L166" s="52"/>
      <c r="M166" s="52"/>
      <c r="N166" s="57"/>
      <c r="O166" s="16">
        <v>34</v>
      </c>
    </row>
    <row r="167" spans="2:15" ht="15.75" thickBot="1" x14ac:dyDescent="0.3">
      <c r="B167" s="8" t="s">
        <v>40</v>
      </c>
      <c r="C167" s="51">
        <v>156</v>
      </c>
      <c r="D167" s="23">
        <v>156</v>
      </c>
      <c r="E167" s="23">
        <v>158</v>
      </c>
      <c r="F167" s="52">
        <v>160</v>
      </c>
      <c r="G167" s="52">
        <v>160</v>
      </c>
      <c r="H167" s="52">
        <v>152</v>
      </c>
      <c r="I167" s="52">
        <v>152</v>
      </c>
      <c r="J167" s="52"/>
      <c r="K167" s="52"/>
      <c r="L167" s="52"/>
      <c r="M167" s="52"/>
      <c r="N167" s="57"/>
      <c r="O167" s="16">
        <v>1094</v>
      </c>
    </row>
    <row r="168" spans="2:15" ht="15.75" thickBot="1" x14ac:dyDescent="0.3">
      <c r="B168" s="8" t="s">
        <v>41</v>
      </c>
      <c r="C168" s="51">
        <v>0</v>
      </c>
      <c r="D168" s="23">
        <v>0</v>
      </c>
      <c r="E168" s="23">
        <v>0</v>
      </c>
      <c r="F168" s="52">
        <v>0</v>
      </c>
      <c r="G168" s="52">
        <v>0</v>
      </c>
      <c r="H168" s="52">
        <v>0</v>
      </c>
      <c r="I168" s="52">
        <v>0</v>
      </c>
      <c r="J168" s="52"/>
      <c r="K168" s="52"/>
      <c r="L168" s="52"/>
      <c r="M168" s="52"/>
      <c r="N168" s="57"/>
      <c r="O168" s="16">
        <v>0</v>
      </c>
    </row>
    <row r="169" spans="2:15" ht="15.75" thickBot="1" x14ac:dyDescent="0.3">
      <c r="B169" s="8" t="s">
        <v>42</v>
      </c>
      <c r="C169" s="53">
        <v>19</v>
      </c>
      <c r="D169" s="52">
        <v>17</v>
      </c>
      <c r="E169" s="52">
        <v>17</v>
      </c>
      <c r="F169" s="52">
        <v>21</v>
      </c>
      <c r="G169" s="52">
        <v>13</v>
      </c>
      <c r="H169" s="52">
        <v>13</v>
      </c>
      <c r="I169" s="52">
        <v>13</v>
      </c>
      <c r="J169" s="52"/>
      <c r="K169" s="52"/>
      <c r="L169" s="52"/>
      <c r="M169" s="52"/>
      <c r="N169" s="57"/>
      <c r="O169" s="16">
        <v>113</v>
      </c>
    </row>
    <row r="170" spans="2:15" ht="15.75" thickBot="1" x14ac:dyDescent="0.3">
      <c r="B170" s="8" t="s">
        <v>61</v>
      </c>
      <c r="C170" s="53">
        <v>0</v>
      </c>
      <c r="D170" s="52">
        <v>1</v>
      </c>
      <c r="E170" s="52">
        <v>4</v>
      </c>
      <c r="F170" s="52">
        <v>0</v>
      </c>
      <c r="G170" s="52">
        <v>3</v>
      </c>
      <c r="H170" s="52">
        <v>3</v>
      </c>
      <c r="I170" s="52">
        <v>1</v>
      </c>
      <c r="J170" s="52"/>
      <c r="K170" s="52"/>
      <c r="L170" s="52"/>
      <c r="M170" s="52"/>
      <c r="N170" s="57"/>
      <c r="O170" s="16">
        <v>12</v>
      </c>
    </row>
    <row r="171" spans="2:15" ht="15.75" thickBot="1" x14ac:dyDescent="0.3">
      <c r="B171" s="9" t="s">
        <v>44</v>
      </c>
      <c r="C171" s="53">
        <v>1</v>
      </c>
      <c r="D171" s="52">
        <v>2</v>
      </c>
      <c r="E171" s="52">
        <v>1</v>
      </c>
      <c r="F171" s="52">
        <v>2</v>
      </c>
      <c r="G171" s="52">
        <v>3</v>
      </c>
      <c r="H171" s="52">
        <v>3</v>
      </c>
      <c r="I171" s="52">
        <v>0</v>
      </c>
      <c r="J171" s="52"/>
      <c r="K171" s="52"/>
      <c r="L171" s="52"/>
      <c r="M171" s="52"/>
      <c r="N171" s="57"/>
      <c r="O171" s="16">
        <v>12</v>
      </c>
    </row>
    <row r="172" spans="2:15" ht="15.75" thickBot="1" x14ac:dyDescent="0.3">
      <c r="B172" s="8" t="s">
        <v>45</v>
      </c>
      <c r="C172" s="54">
        <v>0</v>
      </c>
      <c r="D172" s="54">
        <v>0</v>
      </c>
      <c r="E172" s="54">
        <v>0</v>
      </c>
      <c r="F172" s="55">
        <v>0</v>
      </c>
      <c r="G172" s="55">
        <v>0</v>
      </c>
      <c r="H172" s="55">
        <v>0</v>
      </c>
      <c r="I172" s="55">
        <v>1</v>
      </c>
      <c r="J172" s="55"/>
      <c r="K172" s="55"/>
      <c r="L172" s="55"/>
      <c r="M172" s="55"/>
      <c r="N172" s="58"/>
      <c r="O172" s="17">
        <v>1</v>
      </c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ht="15.75" thickBot="1" x14ac:dyDescent="0.3"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4"/>
      <c r="M174" s="1"/>
      <c r="N174" s="1"/>
      <c r="O174" s="1"/>
    </row>
    <row r="175" spans="2:15" ht="16.5" thickBot="1" x14ac:dyDescent="0.3">
      <c r="B175" s="1"/>
      <c r="C175" s="199" t="s">
        <v>49</v>
      </c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199">
        <v>2018</v>
      </c>
      <c r="O175" s="201"/>
    </row>
    <row r="176" spans="2:15" ht="15.75" thickBot="1" x14ac:dyDescent="0.3">
      <c r="B176" s="7"/>
      <c r="C176" s="39">
        <v>31</v>
      </c>
      <c r="D176" s="39">
        <v>28</v>
      </c>
      <c r="E176" s="39">
        <v>31</v>
      </c>
      <c r="F176" s="39">
        <v>30</v>
      </c>
      <c r="G176" s="39">
        <v>31</v>
      </c>
      <c r="H176" s="39">
        <v>30</v>
      </c>
      <c r="I176" s="39">
        <v>31</v>
      </c>
      <c r="J176" s="39">
        <v>31</v>
      </c>
      <c r="K176" s="39">
        <v>30</v>
      </c>
      <c r="L176" s="39">
        <v>31</v>
      </c>
      <c r="M176" s="39">
        <v>30</v>
      </c>
      <c r="N176" s="39">
        <v>31</v>
      </c>
      <c r="O176" s="40"/>
    </row>
    <row r="177" spans="2:15" ht="21.75" thickBot="1" x14ac:dyDescent="0.3">
      <c r="B177" s="10" t="s">
        <v>62</v>
      </c>
      <c r="C177" s="11" t="s">
        <v>1</v>
      </c>
      <c r="D177" s="12" t="s">
        <v>2</v>
      </c>
      <c r="E177" s="12" t="s">
        <v>3</v>
      </c>
      <c r="F177" s="12" t="s">
        <v>4</v>
      </c>
      <c r="G177" s="12" t="s">
        <v>5</v>
      </c>
      <c r="H177" s="12" t="s">
        <v>6</v>
      </c>
      <c r="I177" s="12" t="s">
        <v>7</v>
      </c>
      <c r="J177" s="12" t="s">
        <v>8</v>
      </c>
      <c r="K177" s="13" t="s">
        <v>9</v>
      </c>
      <c r="L177" s="13" t="s">
        <v>10</v>
      </c>
      <c r="M177" s="13" t="s">
        <v>11</v>
      </c>
      <c r="N177" s="13" t="s">
        <v>12</v>
      </c>
      <c r="O177" s="14" t="s">
        <v>13</v>
      </c>
    </row>
    <row r="178" spans="2:15" ht="15.75" thickBot="1" x14ac:dyDescent="0.3">
      <c r="B178" s="8" t="s">
        <v>14</v>
      </c>
      <c r="C178" s="44">
        <v>8</v>
      </c>
      <c r="D178" s="44">
        <v>8</v>
      </c>
      <c r="E178" s="44">
        <v>9</v>
      </c>
      <c r="F178" s="44">
        <v>9</v>
      </c>
      <c r="G178" s="44">
        <v>9</v>
      </c>
      <c r="H178" s="44">
        <v>9</v>
      </c>
      <c r="I178" s="44">
        <v>9</v>
      </c>
      <c r="J178" s="44"/>
      <c r="K178" s="44"/>
      <c r="L178" s="44"/>
      <c r="M178" s="44"/>
      <c r="N178" s="44"/>
      <c r="O178" s="88">
        <v>8.7142857142857135</v>
      </c>
    </row>
    <row r="179" spans="2:15" ht="15.75" thickBot="1" x14ac:dyDescent="0.3">
      <c r="B179" s="8" t="s">
        <v>15</v>
      </c>
      <c r="C179" s="32">
        <v>16</v>
      </c>
      <c r="D179" s="21">
        <v>20</v>
      </c>
      <c r="E179" s="21">
        <v>26</v>
      </c>
      <c r="F179" s="3">
        <v>24</v>
      </c>
      <c r="G179" s="3">
        <v>21</v>
      </c>
      <c r="H179" s="3">
        <v>21</v>
      </c>
      <c r="I179" s="3">
        <v>21</v>
      </c>
      <c r="J179" s="3"/>
      <c r="K179" s="3"/>
      <c r="L179" s="3"/>
      <c r="M179" s="3"/>
      <c r="N179" s="33"/>
      <c r="O179" s="18">
        <v>149</v>
      </c>
    </row>
    <row r="180" spans="2:15" ht="15.75" thickBot="1" x14ac:dyDescent="0.3">
      <c r="B180" s="8" t="s">
        <v>16</v>
      </c>
      <c r="C180" s="32">
        <v>19</v>
      </c>
      <c r="D180" s="21">
        <v>21</v>
      </c>
      <c r="E180" s="21">
        <v>22</v>
      </c>
      <c r="F180" s="3">
        <v>23</v>
      </c>
      <c r="G180" s="3">
        <v>20</v>
      </c>
      <c r="H180" s="3">
        <v>23</v>
      </c>
      <c r="I180" s="3">
        <v>21</v>
      </c>
      <c r="J180" s="3"/>
      <c r="K180" s="3"/>
      <c r="L180" s="3"/>
      <c r="M180" s="3"/>
      <c r="N180" s="33"/>
      <c r="O180" s="18">
        <v>149</v>
      </c>
    </row>
    <row r="181" spans="2:15" ht="15.75" thickBot="1" x14ac:dyDescent="0.3">
      <c r="B181" s="8" t="s">
        <v>17</v>
      </c>
      <c r="C181" s="41">
        <v>248</v>
      </c>
      <c r="D181" s="41">
        <v>224</v>
      </c>
      <c r="E181" s="41">
        <v>279</v>
      </c>
      <c r="F181" s="41">
        <v>270</v>
      </c>
      <c r="G181" s="41">
        <v>279</v>
      </c>
      <c r="H181" s="41">
        <v>270</v>
      </c>
      <c r="I181" s="41">
        <v>279</v>
      </c>
      <c r="J181" s="41">
        <v>0</v>
      </c>
      <c r="K181" s="41">
        <v>0</v>
      </c>
      <c r="L181" s="41">
        <v>0</v>
      </c>
      <c r="M181" s="41">
        <v>0</v>
      </c>
      <c r="N181" s="41">
        <v>0</v>
      </c>
      <c r="O181" s="18">
        <v>1849</v>
      </c>
    </row>
    <row r="182" spans="2:15" ht="15.75" thickBot="1" x14ac:dyDescent="0.3">
      <c r="B182" s="8" t="s">
        <v>18</v>
      </c>
      <c r="C182" s="32">
        <v>126</v>
      </c>
      <c r="D182" s="21">
        <v>112</v>
      </c>
      <c r="E182" s="21">
        <v>76</v>
      </c>
      <c r="F182" s="3">
        <v>78</v>
      </c>
      <c r="G182" s="3">
        <v>155</v>
      </c>
      <c r="H182" s="3">
        <v>142</v>
      </c>
      <c r="I182" s="3">
        <v>129</v>
      </c>
      <c r="J182" s="3"/>
      <c r="K182" s="3"/>
      <c r="L182" s="3"/>
      <c r="M182" s="3"/>
      <c r="N182" s="33"/>
      <c r="O182" s="18">
        <v>818</v>
      </c>
    </row>
    <row r="183" spans="2:15" ht="15.75" thickBot="1" x14ac:dyDescent="0.3">
      <c r="B183" s="8" t="s">
        <v>19</v>
      </c>
      <c r="C183" s="32">
        <v>222</v>
      </c>
      <c r="D183" s="21">
        <v>213</v>
      </c>
      <c r="E183" s="21">
        <v>93</v>
      </c>
      <c r="F183" s="3">
        <v>95</v>
      </c>
      <c r="G183" s="3">
        <v>291</v>
      </c>
      <c r="H183" s="3">
        <v>198</v>
      </c>
      <c r="I183" s="3">
        <v>150</v>
      </c>
      <c r="J183" s="3"/>
      <c r="K183" s="3"/>
      <c r="L183" s="3"/>
      <c r="M183" s="3"/>
      <c r="N183" s="33"/>
      <c r="O183" s="18">
        <v>1262</v>
      </c>
    </row>
    <row r="184" spans="2:15" ht="15.75" thickBot="1" x14ac:dyDescent="0.3">
      <c r="B184" s="9" t="s">
        <v>51</v>
      </c>
      <c r="C184" s="75">
        <v>191</v>
      </c>
      <c r="D184" s="76">
        <v>128</v>
      </c>
      <c r="E184" s="76">
        <v>133</v>
      </c>
      <c r="F184" s="77">
        <v>178</v>
      </c>
      <c r="G184" s="76">
        <v>215</v>
      </c>
      <c r="H184" s="76">
        <v>187</v>
      </c>
      <c r="I184" s="76">
        <v>200</v>
      </c>
      <c r="J184" s="76"/>
      <c r="K184" s="76"/>
      <c r="L184" s="76"/>
      <c r="M184" s="76"/>
      <c r="N184" s="78"/>
      <c r="O184" s="18">
        <v>1232</v>
      </c>
    </row>
    <row r="185" spans="2:15" ht="15.75" thickBot="1" x14ac:dyDescent="0.3">
      <c r="B185" s="38" t="s">
        <v>21</v>
      </c>
      <c r="C185" s="70">
        <v>6.6315789473684212</v>
      </c>
      <c r="D185" s="71">
        <v>5.333333333333333</v>
      </c>
      <c r="E185" s="71">
        <v>3.4545454545454546</v>
      </c>
      <c r="F185" s="71">
        <v>3.3913043478260869</v>
      </c>
      <c r="G185" s="71">
        <v>7.75</v>
      </c>
      <c r="H185" s="71">
        <v>6.1739130434782608</v>
      </c>
      <c r="I185" s="71">
        <v>6.1428571428571432</v>
      </c>
      <c r="J185" s="71" t="s">
        <v>22</v>
      </c>
      <c r="K185" s="71" t="s">
        <v>22</v>
      </c>
      <c r="L185" s="71" t="s">
        <v>22</v>
      </c>
      <c r="M185" s="71" t="s">
        <v>22</v>
      </c>
      <c r="N185" s="73" t="s">
        <v>22</v>
      </c>
      <c r="O185" s="47">
        <v>5.4899328859060406</v>
      </c>
    </row>
    <row r="186" spans="2:15" ht="15.75" thickBot="1" x14ac:dyDescent="0.3">
      <c r="B186" s="38" t="s">
        <v>23</v>
      </c>
      <c r="C186" s="42">
        <v>2.375</v>
      </c>
      <c r="D186" s="42">
        <v>2.625</v>
      </c>
      <c r="E186" s="42">
        <v>2.4444444444444446</v>
      </c>
      <c r="F186" s="42">
        <v>2.5555555555555554</v>
      </c>
      <c r="G186" s="42">
        <v>2.2222222222222223</v>
      </c>
      <c r="H186" s="42">
        <v>2.5555555555555554</v>
      </c>
      <c r="I186" s="42">
        <v>2.3333333333333335</v>
      </c>
      <c r="J186" s="42" t="s">
        <v>22</v>
      </c>
      <c r="K186" s="42" t="s">
        <v>22</v>
      </c>
      <c r="L186" s="42" t="s">
        <v>22</v>
      </c>
      <c r="M186" s="42" t="s">
        <v>22</v>
      </c>
      <c r="N186" s="46" t="s">
        <v>22</v>
      </c>
      <c r="O186" s="87">
        <v>2.4426229508196724</v>
      </c>
    </row>
    <row r="187" spans="2:15" ht="15.75" thickBot="1" x14ac:dyDescent="0.3">
      <c r="B187" s="38" t="s">
        <v>24</v>
      </c>
      <c r="C187" s="42">
        <v>3</v>
      </c>
      <c r="D187" s="42">
        <v>4.5714285714285712</v>
      </c>
      <c r="E187" s="42">
        <v>6.6363636363636367</v>
      </c>
      <c r="F187" s="42">
        <v>4</v>
      </c>
      <c r="G187" s="42">
        <v>3.2</v>
      </c>
      <c r="H187" s="42">
        <v>3.6086956521739131</v>
      </c>
      <c r="I187" s="42">
        <v>3.7619047619047619</v>
      </c>
      <c r="J187" s="42" t="s">
        <v>22</v>
      </c>
      <c r="K187" s="42" t="s">
        <v>22</v>
      </c>
      <c r="L187" s="42" t="s">
        <v>22</v>
      </c>
      <c r="M187" s="42" t="s">
        <v>22</v>
      </c>
      <c r="N187" s="42" t="s">
        <v>22</v>
      </c>
      <c r="O187" s="47">
        <v>4.1409395973154366</v>
      </c>
    </row>
    <row r="188" spans="2:15" ht="15.75" thickBot="1" x14ac:dyDescent="0.3">
      <c r="B188" s="38" t="s">
        <v>25</v>
      </c>
      <c r="C188" s="42">
        <v>77.016129032258064</v>
      </c>
      <c r="D188" s="42">
        <v>57.142857142857139</v>
      </c>
      <c r="E188" s="42">
        <v>47.670250896057347</v>
      </c>
      <c r="F188" s="42">
        <v>65.925925925925924</v>
      </c>
      <c r="G188" s="42">
        <v>77.060931899641574</v>
      </c>
      <c r="H188" s="42">
        <v>69.259259259259252</v>
      </c>
      <c r="I188" s="42">
        <v>71.68458781362007</v>
      </c>
      <c r="J188" s="42" t="s">
        <v>22</v>
      </c>
      <c r="K188" s="42" t="s">
        <v>22</v>
      </c>
      <c r="L188" s="42" t="s">
        <v>22</v>
      </c>
      <c r="M188" s="42" t="s">
        <v>22</v>
      </c>
      <c r="N188" s="46" t="s">
        <v>22</v>
      </c>
      <c r="O188" s="47">
        <v>66.630611141157374</v>
      </c>
    </row>
    <row r="189" spans="2:15" ht="15.75" thickBot="1" x14ac:dyDescent="0.3">
      <c r="B189" s="8" t="s">
        <v>26</v>
      </c>
      <c r="C189" s="41">
        <v>6</v>
      </c>
      <c r="D189" s="41">
        <v>6</v>
      </c>
      <c r="E189" s="41">
        <v>7</v>
      </c>
      <c r="F189" s="41">
        <v>3</v>
      </c>
      <c r="G189" s="41">
        <v>7</v>
      </c>
      <c r="H189" s="41">
        <v>3</v>
      </c>
      <c r="I189" s="41">
        <v>10</v>
      </c>
      <c r="J189" s="41">
        <v>0</v>
      </c>
      <c r="K189" s="41">
        <v>0</v>
      </c>
      <c r="L189" s="41">
        <v>0</v>
      </c>
      <c r="M189" s="41">
        <v>0</v>
      </c>
      <c r="N189" s="45">
        <v>0</v>
      </c>
      <c r="O189" s="18">
        <v>42</v>
      </c>
    </row>
    <row r="190" spans="2:15" ht="15.75" thickBot="1" x14ac:dyDescent="0.3">
      <c r="B190" s="8" t="s">
        <v>52</v>
      </c>
      <c r="C190" s="32">
        <v>4</v>
      </c>
      <c r="D190" s="21">
        <v>3</v>
      </c>
      <c r="E190" s="21">
        <v>4</v>
      </c>
      <c r="F190" s="3">
        <v>1</v>
      </c>
      <c r="G190" s="3">
        <v>5</v>
      </c>
      <c r="H190" s="3">
        <v>3</v>
      </c>
      <c r="I190" s="3">
        <v>5</v>
      </c>
      <c r="J190" s="3"/>
      <c r="K190" s="3"/>
      <c r="L190" s="3"/>
      <c r="M190" s="3"/>
      <c r="N190" s="33"/>
      <c r="O190" s="18">
        <v>25</v>
      </c>
    </row>
    <row r="191" spans="2:15" ht="15.75" thickBot="1" x14ac:dyDescent="0.3">
      <c r="B191" s="8" t="s">
        <v>53</v>
      </c>
      <c r="C191" s="32">
        <v>2</v>
      </c>
      <c r="D191" s="21">
        <v>3</v>
      </c>
      <c r="E191" s="21">
        <v>3</v>
      </c>
      <c r="F191" s="3">
        <v>2</v>
      </c>
      <c r="G191" s="3">
        <v>2</v>
      </c>
      <c r="H191" s="3">
        <v>0</v>
      </c>
      <c r="I191" s="3">
        <v>5</v>
      </c>
      <c r="J191" s="3"/>
      <c r="K191" s="3"/>
      <c r="L191" s="3"/>
      <c r="M191" s="3"/>
      <c r="N191" s="33"/>
      <c r="O191" s="18">
        <v>17</v>
      </c>
    </row>
    <row r="192" spans="2:15" ht="15.75" thickBot="1" x14ac:dyDescent="0.3">
      <c r="B192" s="15" t="s">
        <v>31</v>
      </c>
      <c r="C192" s="25">
        <v>0</v>
      </c>
      <c r="D192" s="25">
        <v>0</v>
      </c>
      <c r="E192" s="25">
        <v>0</v>
      </c>
      <c r="F192" s="34">
        <v>1</v>
      </c>
      <c r="G192" s="34">
        <v>0</v>
      </c>
      <c r="H192" s="34">
        <v>0</v>
      </c>
      <c r="I192" s="34">
        <v>2</v>
      </c>
      <c r="J192" s="34"/>
      <c r="K192" s="34"/>
      <c r="L192" s="34"/>
      <c r="M192" s="34"/>
      <c r="N192" s="35"/>
      <c r="O192" s="28">
        <v>3</v>
      </c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ht="15.75" thickBot="1" x14ac:dyDescent="0.3"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4"/>
      <c r="M194" s="1"/>
      <c r="N194" s="1"/>
      <c r="O194" s="1"/>
    </row>
    <row r="195" spans="2:15" ht="16.5" thickBot="1" x14ac:dyDescent="0.3">
      <c r="B195" s="1"/>
      <c r="C195" s="199" t="s">
        <v>49</v>
      </c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199">
        <v>2018</v>
      </c>
      <c r="O195" s="201"/>
    </row>
    <row r="196" spans="2:15" ht="15.75" thickBot="1" x14ac:dyDescent="0.3">
      <c r="B196" s="7"/>
      <c r="C196" s="39">
        <v>31</v>
      </c>
      <c r="D196" s="39">
        <v>28</v>
      </c>
      <c r="E196" s="39">
        <v>31</v>
      </c>
      <c r="F196" s="39">
        <v>30</v>
      </c>
      <c r="G196" s="39">
        <v>31</v>
      </c>
      <c r="H196" s="39">
        <v>30</v>
      </c>
      <c r="I196" s="39">
        <v>31</v>
      </c>
      <c r="J196" s="39">
        <v>31</v>
      </c>
      <c r="K196" s="39">
        <v>30</v>
      </c>
      <c r="L196" s="39">
        <v>31</v>
      </c>
      <c r="M196" s="39">
        <v>30</v>
      </c>
      <c r="N196" s="39">
        <v>31</v>
      </c>
      <c r="O196" s="40"/>
    </row>
    <row r="197" spans="2:15" ht="21.75" thickBot="1" x14ac:dyDescent="0.3">
      <c r="B197" s="10" t="s">
        <v>63</v>
      </c>
      <c r="C197" s="11" t="s">
        <v>1</v>
      </c>
      <c r="D197" s="12" t="s">
        <v>2</v>
      </c>
      <c r="E197" s="12" t="s">
        <v>3</v>
      </c>
      <c r="F197" s="12" t="s">
        <v>4</v>
      </c>
      <c r="G197" s="12" t="s">
        <v>5</v>
      </c>
      <c r="H197" s="12" t="s">
        <v>6</v>
      </c>
      <c r="I197" s="12" t="s">
        <v>7</v>
      </c>
      <c r="J197" s="12" t="s">
        <v>8</v>
      </c>
      <c r="K197" s="13" t="s">
        <v>9</v>
      </c>
      <c r="L197" s="13" t="s">
        <v>10</v>
      </c>
      <c r="M197" s="13" t="s">
        <v>11</v>
      </c>
      <c r="N197" s="13" t="s">
        <v>12</v>
      </c>
      <c r="O197" s="14" t="s">
        <v>13</v>
      </c>
    </row>
    <row r="198" spans="2:15" ht="15.75" thickBot="1" x14ac:dyDescent="0.3">
      <c r="B198" s="8" t="s">
        <v>14</v>
      </c>
      <c r="C198" s="44">
        <v>4</v>
      </c>
      <c r="D198" s="44">
        <v>4</v>
      </c>
      <c r="E198" s="44">
        <v>4</v>
      </c>
      <c r="F198" s="44">
        <v>4</v>
      </c>
      <c r="G198" s="44">
        <v>4</v>
      </c>
      <c r="H198" s="44">
        <v>4</v>
      </c>
      <c r="I198" s="44">
        <v>4</v>
      </c>
      <c r="J198" s="44"/>
      <c r="K198" s="44"/>
      <c r="L198" s="44"/>
      <c r="M198" s="44"/>
      <c r="N198" s="48"/>
      <c r="O198" s="36">
        <v>4</v>
      </c>
    </row>
    <row r="199" spans="2:15" ht="15.75" thickBot="1" x14ac:dyDescent="0.3">
      <c r="B199" s="8" t="s">
        <v>15</v>
      </c>
      <c r="C199" s="32">
        <v>7</v>
      </c>
      <c r="D199" s="21">
        <v>9</v>
      </c>
      <c r="E199" s="21">
        <v>7</v>
      </c>
      <c r="F199" s="3">
        <v>5</v>
      </c>
      <c r="G199" s="3">
        <v>14</v>
      </c>
      <c r="H199" s="3">
        <v>10</v>
      </c>
      <c r="I199" s="3">
        <v>6</v>
      </c>
      <c r="J199" s="3"/>
      <c r="K199" s="3"/>
      <c r="L199" s="3"/>
      <c r="M199" s="3"/>
      <c r="N199" s="33"/>
      <c r="O199" s="18">
        <v>58</v>
      </c>
    </row>
    <row r="200" spans="2:15" ht="15.75" thickBot="1" x14ac:dyDescent="0.3">
      <c r="B200" s="8" t="s">
        <v>16</v>
      </c>
      <c r="C200" s="32">
        <v>6</v>
      </c>
      <c r="D200" s="21">
        <v>10</v>
      </c>
      <c r="E200" s="21">
        <v>7</v>
      </c>
      <c r="F200" s="3">
        <v>5</v>
      </c>
      <c r="G200" s="3">
        <v>13</v>
      </c>
      <c r="H200" s="3">
        <v>8</v>
      </c>
      <c r="I200" s="3">
        <v>9</v>
      </c>
      <c r="J200" s="3"/>
      <c r="K200" s="3"/>
      <c r="L200" s="3"/>
      <c r="M200" s="3"/>
      <c r="N200" s="33"/>
      <c r="O200" s="18">
        <v>58</v>
      </c>
    </row>
    <row r="201" spans="2:15" ht="15.75" thickBot="1" x14ac:dyDescent="0.3">
      <c r="B201" s="8" t="s">
        <v>17</v>
      </c>
      <c r="C201" s="41">
        <v>124</v>
      </c>
      <c r="D201" s="41">
        <v>112</v>
      </c>
      <c r="E201" s="41">
        <v>124</v>
      </c>
      <c r="F201" s="41">
        <v>120</v>
      </c>
      <c r="G201" s="41">
        <v>124</v>
      </c>
      <c r="H201" s="41">
        <v>120</v>
      </c>
      <c r="I201" s="41">
        <v>124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18">
        <v>848</v>
      </c>
    </row>
    <row r="202" spans="2:15" ht="15.75" thickBot="1" x14ac:dyDescent="0.3">
      <c r="B202" s="8" t="s">
        <v>18</v>
      </c>
      <c r="C202" s="32">
        <v>21</v>
      </c>
      <c r="D202" s="21">
        <v>44</v>
      </c>
      <c r="E202" s="21">
        <v>46</v>
      </c>
      <c r="F202" s="3">
        <v>12</v>
      </c>
      <c r="G202" s="3">
        <v>43</v>
      </c>
      <c r="H202" s="3">
        <v>33</v>
      </c>
      <c r="I202" s="3">
        <v>43</v>
      </c>
      <c r="J202" s="3"/>
      <c r="K202" s="3"/>
      <c r="L202" s="3"/>
      <c r="M202" s="3"/>
      <c r="N202" s="33"/>
      <c r="O202" s="18">
        <v>242</v>
      </c>
    </row>
    <row r="203" spans="2:15" ht="15.75" thickBot="1" x14ac:dyDescent="0.3">
      <c r="B203" s="8" t="s">
        <v>19</v>
      </c>
      <c r="C203" s="32">
        <v>22</v>
      </c>
      <c r="D203" s="21">
        <v>49</v>
      </c>
      <c r="E203" s="21">
        <v>62</v>
      </c>
      <c r="F203" s="3">
        <v>12</v>
      </c>
      <c r="G203" s="3">
        <v>43</v>
      </c>
      <c r="H203" s="3">
        <v>47</v>
      </c>
      <c r="I203" s="3">
        <v>68</v>
      </c>
      <c r="J203" s="3"/>
      <c r="K203" s="3"/>
      <c r="L203" s="3"/>
      <c r="M203" s="3"/>
      <c r="N203" s="33"/>
      <c r="O203" s="18">
        <v>303</v>
      </c>
    </row>
    <row r="204" spans="2:15" ht="15.75" thickBot="1" x14ac:dyDescent="0.3">
      <c r="B204" s="9" t="s">
        <v>51</v>
      </c>
      <c r="C204" s="75">
        <v>27</v>
      </c>
      <c r="D204" s="76">
        <v>59</v>
      </c>
      <c r="E204" s="76">
        <v>46</v>
      </c>
      <c r="F204" s="77">
        <v>12</v>
      </c>
      <c r="G204" s="76">
        <v>77</v>
      </c>
      <c r="H204" s="76">
        <v>87</v>
      </c>
      <c r="I204" s="76">
        <v>41</v>
      </c>
      <c r="J204" s="76"/>
      <c r="K204" s="76"/>
      <c r="L204" s="76"/>
      <c r="M204" s="76"/>
      <c r="N204" s="78"/>
      <c r="O204" s="18">
        <v>349</v>
      </c>
    </row>
    <row r="205" spans="2:15" ht="15.75" thickBot="1" x14ac:dyDescent="0.3">
      <c r="B205" s="38" t="s">
        <v>21</v>
      </c>
      <c r="C205" s="70">
        <v>3.5</v>
      </c>
      <c r="D205" s="71">
        <v>4.4000000000000004</v>
      </c>
      <c r="E205" s="71">
        <v>6.5714285714285712</v>
      </c>
      <c r="F205" s="71">
        <v>2.4</v>
      </c>
      <c r="G205" s="71">
        <v>3.3076923076923075</v>
      </c>
      <c r="H205" s="71">
        <v>4.125</v>
      </c>
      <c r="I205" s="71">
        <v>4.7777777777777777</v>
      </c>
      <c r="J205" s="71" t="s">
        <v>22</v>
      </c>
      <c r="K205" s="71" t="s">
        <v>22</v>
      </c>
      <c r="L205" s="71" t="s">
        <v>22</v>
      </c>
      <c r="M205" s="71" t="s">
        <v>22</v>
      </c>
      <c r="N205" s="73" t="s">
        <v>22</v>
      </c>
      <c r="O205" s="47">
        <v>4.1724137931034484</v>
      </c>
    </row>
    <row r="206" spans="2:15" ht="15.75" thickBot="1" x14ac:dyDescent="0.3">
      <c r="B206" s="38" t="s">
        <v>23</v>
      </c>
      <c r="C206" s="42">
        <v>1.5</v>
      </c>
      <c r="D206" s="42">
        <v>2.5</v>
      </c>
      <c r="E206" s="42">
        <v>1.75</v>
      </c>
      <c r="F206" s="42">
        <v>1.25</v>
      </c>
      <c r="G206" s="42">
        <v>3.25</v>
      </c>
      <c r="H206" s="42">
        <v>2</v>
      </c>
      <c r="I206" s="42">
        <v>2.25</v>
      </c>
      <c r="J206" s="42" t="s">
        <v>22</v>
      </c>
      <c r="K206" s="42" t="s">
        <v>22</v>
      </c>
      <c r="L206" s="42" t="s">
        <v>22</v>
      </c>
      <c r="M206" s="42" t="s">
        <v>22</v>
      </c>
      <c r="N206" s="46" t="s">
        <v>22</v>
      </c>
      <c r="O206" s="87">
        <v>2.0714285714285716</v>
      </c>
    </row>
    <row r="207" spans="2:15" ht="15.75" thickBot="1" x14ac:dyDescent="0.3">
      <c r="B207" s="38" t="s">
        <v>24</v>
      </c>
      <c r="C207" s="42">
        <v>16.166666666666668</v>
      </c>
      <c r="D207" s="42">
        <v>5.3</v>
      </c>
      <c r="E207" s="42">
        <v>11.142857142857142</v>
      </c>
      <c r="F207" s="42">
        <v>21.6</v>
      </c>
      <c r="G207" s="42">
        <v>3.6153846153846154</v>
      </c>
      <c r="H207" s="42">
        <v>4.125</v>
      </c>
      <c r="I207" s="42">
        <v>9.2222222222222214</v>
      </c>
      <c r="J207" s="42" t="s">
        <v>22</v>
      </c>
      <c r="K207" s="42" t="s">
        <v>22</v>
      </c>
      <c r="L207" s="42" t="s">
        <v>22</v>
      </c>
      <c r="M207" s="42" t="s">
        <v>22</v>
      </c>
      <c r="N207" s="42" t="s">
        <v>22</v>
      </c>
      <c r="O207" s="47">
        <v>8.6034482758620694</v>
      </c>
    </row>
    <row r="208" spans="2:15" ht="15.75" thickBot="1" x14ac:dyDescent="0.3">
      <c r="B208" s="38" t="s">
        <v>25</v>
      </c>
      <c r="C208" s="42">
        <v>21.774193548387096</v>
      </c>
      <c r="D208" s="42">
        <v>52.678571428571431</v>
      </c>
      <c r="E208" s="42">
        <v>37.096774193548384</v>
      </c>
      <c r="F208" s="42">
        <v>10</v>
      </c>
      <c r="G208" s="42">
        <v>62.096774193548384</v>
      </c>
      <c r="H208" s="42">
        <v>72.5</v>
      </c>
      <c r="I208" s="42">
        <v>33.064516129032256</v>
      </c>
      <c r="J208" s="42" t="s">
        <v>22</v>
      </c>
      <c r="K208" s="42" t="s">
        <v>22</v>
      </c>
      <c r="L208" s="42" t="s">
        <v>22</v>
      </c>
      <c r="M208" s="42" t="s">
        <v>22</v>
      </c>
      <c r="N208" s="46" t="s">
        <v>22</v>
      </c>
      <c r="O208" s="47">
        <v>41.155660377358487</v>
      </c>
    </row>
    <row r="209" spans="2:15" ht="15.75" thickBot="1" x14ac:dyDescent="0.3">
      <c r="B209" s="8" t="s">
        <v>26</v>
      </c>
      <c r="C209" s="41">
        <v>1</v>
      </c>
      <c r="D209" s="41">
        <v>3</v>
      </c>
      <c r="E209" s="41">
        <v>3</v>
      </c>
      <c r="F209" s="41">
        <v>0</v>
      </c>
      <c r="G209" s="41">
        <v>4</v>
      </c>
      <c r="H209" s="41">
        <v>3</v>
      </c>
      <c r="I209" s="41">
        <v>1</v>
      </c>
      <c r="J209" s="41">
        <v>0</v>
      </c>
      <c r="K209" s="41">
        <v>0</v>
      </c>
      <c r="L209" s="41">
        <v>0</v>
      </c>
      <c r="M209" s="41">
        <v>0</v>
      </c>
      <c r="N209" s="45">
        <v>0</v>
      </c>
      <c r="O209" s="18">
        <v>15</v>
      </c>
    </row>
    <row r="210" spans="2:15" ht="15.75" thickBot="1" x14ac:dyDescent="0.3">
      <c r="B210" s="8" t="s">
        <v>52</v>
      </c>
      <c r="C210" s="32">
        <v>1</v>
      </c>
      <c r="D210" s="21">
        <v>2</v>
      </c>
      <c r="E210" s="21">
        <v>3</v>
      </c>
      <c r="F210" s="3">
        <v>0</v>
      </c>
      <c r="G210" s="3">
        <v>1</v>
      </c>
      <c r="H210" s="3">
        <v>2</v>
      </c>
      <c r="I210" s="3">
        <v>1</v>
      </c>
      <c r="J210" s="3"/>
      <c r="K210" s="3"/>
      <c r="L210" s="3"/>
      <c r="M210" s="3"/>
      <c r="N210" s="33"/>
      <c r="O210" s="18">
        <v>10</v>
      </c>
    </row>
    <row r="211" spans="2:15" ht="15.75" thickBot="1" x14ac:dyDescent="0.3">
      <c r="B211" s="8" t="s">
        <v>53</v>
      </c>
      <c r="C211" s="32">
        <v>0</v>
      </c>
      <c r="D211" s="21">
        <v>1</v>
      </c>
      <c r="E211" s="21">
        <v>0</v>
      </c>
      <c r="F211" s="3">
        <v>0</v>
      </c>
      <c r="G211" s="3">
        <v>3</v>
      </c>
      <c r="H211" s="3">
        <v>1</v>
      </c>
      <c r="I211" s="3">
        <v>0</v>
      </c>
      <c r="J211" s="3"/>
      <c r="K211" s="3"/>
      <c r="L211" s="3"/>
      <c r="M211" s="3"/>
      <c r="N211" s="33"/>
      <c r="O211" s="18">
        <v>5</v>
      </c>
    </row>
    <row r="212" spans="2:15" ht="15.75" thickBot="1" x14ac:dyDescent="0.3">
      <c r="B212" s="15" t="s">
        <v>31</v>
      </c>
      <c r="C212" s="25">
        <v>1</v>
      </c>
      <c r="D212" s="25">
        <v>2</v>
      </c>
      <c r="E212" s="25">
        <v>0</v>
      </c>
      <c r="F212" s="34">
        <v>0</v>
      </c>
      <c r="G212" s="34">
        <v>0</v>
      </c>
      <c r="H212" s="34">
        <v>0</v>
      </c>
      <c r="I212" s="34">
        <v>0</v>
      </c>
      <c r="J212" s="34"/>
      <c r="K212" s="34"/>
      <c r="L212" s="34"/>
      <c r="M212" s="34"/>
      <c r="N212" s="35"/>
      <c r="O212" s="28">
        <v>3</v>
      </c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ht="15.75" thickBot="1" x14ac:dyDescent="0.3"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4"/>
      <c r="M214" s="1"/>
      <c r="N214" s="1"/>
      <c r="O214" s="1"/>
    </row>
    <row r="215" spans="2:15" ht="16.5" thickBot="1" x14ac:dyDescent="0.3">
      <c r="B215" s="1"/>
      <c r="C215" s="199" t="s">
        <v>49</v>
      </c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199">
        <v>2018</v>
      </c>
      <c r="O215" s="201"/>
    </row>
    <row r="216" spans="2:15" ht="15.75" thickBot="1" x14ac:dyDescent="0.3">
      <c r="B216" s="7"/>
      <c r="C216" s="39">
        <v>31</v>
      </c>
      <c r="D216" s="39">
        <v>28</v>
      </c>
      <c r="E216" s="39">
        <v>31</v>
      </c>
      <c r="F216" s="39">
        <v>30</v>
      </c>
      <c r="G216" s="39">
        <v>31</v>
      </c>
      <c r="H216" s="39">
        <v>30</v>
      </c>
      <c r="I216" s="39">
        <v>31</v>
      </c>
      <c r="J216" s="39">
        <v>31</v>
      </c>
      <c r="K216" s="39">
        <v>30</v>
      </c>
      <c r="L216" s="39">
        <v>31</v>
      </c>
      <c r="M216" s="39">
        <v>30</v>
      </c>
      <c r="N216" s="39">
        <v>31</v>
      </c>
      <c r="O216" s="40"/>
    </row>
    <row r="217" spans="2:15" ht="21.75" thickBot="1" x14ac:dyDescent="0.3">
      <c r="B217" s="10" t="s">
        <v>64</v>
      </c>
      <c r="C217" s="11" t="s">
        <v>1</v>
      </c>
      <c r="D217" s="12" t="s">
        <v>2</v>
      </c>
      <c r="E217" s="12" t="s">
        <v>3</v>
      </c>
      <c r="F217" s="12" t="s">
        <v>4</v>
      </c>
      <c r="G217" s="12" t="s">
        <v>5</v>
      </c>
      <c r="H217" s="12" t="s">
        <v>6</v>
      </c>
      <c r="I217" s="12" t="s">
        <v>7</v>
      </c>
      <c r="J217" s="12" t="s">
        <v>8</v>
      </c>
      <c r="K217" s="13" t="s">
        <v>9</v>
      </c>
      <c r="L217" s="13" t="s">
        <v>10</v>
      </c>
      <c r="M217" s="13" t="s">
        <v>11</v>
      </c>
      <c r="N217" s="13" t="s">
        <v>12</v>
      </c>
      <c r="O217" s="14" t="s">
        <v>13</v>
      </c>
    </row>
    <row r="218" spans="2:15" ht="15.75" thickBot="1" x14ac:dyDescent="0.3">
      <c r="B218" s="8" t="s">
        <v>14</v>
      </c>
      <c r="C218" s="44">
        <v>11</v>
      </c>
      <c r="D218" s="44">
        <v>11</v>
      </c>
      <c r="E218" s="44">
        <v>11</v>
      </c>
      <c r="F218" s="44">
        <v>11</v>
      </c>
      <c r="G218" s="44">
        <v>11</v>
      </c>
      <c r="H218" s="44">
        <v>11</v>
      </c>
      <c r="I218" s="44">
        <v>11</v>
      </c>
      <c r="J218" s="44"/>
      <c r="K218" s="44"/>
      <c r="L218" s="44"/>
      <c r="M218" s="44"/>
      <c r="N218" s="48"/>
      <c r="O218" s="36">
        <v>11</v>
      </c>
    </row>
    <row r="219" spans="2:15" ht="15.75" thickBot="1" x14ac:dyDescent="0.3">
      <c r="B219" s="8" t="s">
        <v>15</v>
      </c>
      <c r="C219" s="32">
        <v>23</v>
      </c>
      <c r="D219" s="21">
        <v>19</v>
      </c>
      <c r="E219" s="21">
        <v>22</v>
      </c>
      <c r="F219" s="3">
        <v>23</v>
      </c>
      <c r="G219" s="3">
        <v>27</v>
      </c>
      <c r="H219" s="3">
        <v>18</v>
      </c>
      <c r="I219" s="3">
        <v>24</v>
      </c>
      <c r="J219" s="3"/>
      <c r="K219" s="3"/>
      <c r="L219" s="3"/>
      <c r="M219" s="3"/>
      <c r="N219" s="33"/>
      <c r="O219" s="18">
        <v>156</v>
      </c>
    </row>
    <row r="220" spans="2:15" ht="15.75" thickBot="1" x14ac:dyDescent="0.3">
      <c r="B220" s="8" t="s">
        <v>16</v>
      </c>
      <c r="C220" s="32">
        <v>23</v>
      </c>
      <c r="D220" s="21">
        <v>14</v>
      </c>
      <c r="E220" s="21">
        <v>26</v>
      </c>
      <c r="F220" s="3">
        <v>20</v>
      </c>
      <c r="G220" s="3">
        <v>28</v>
      </c>
      <c r="H220" s="3">
        <v>20</v>
      </c>
      <c r="I220" s="3">
        <v>24</v>
      </c>
      <c r="J220" s="3"/>
      <c r="K220" s="3"/>
      <c r="L220" s="3"/>
      <c r="M220" s="3"/>
      <c r="N220" s="33"/>
      <c r="O220" s="18">
        <v>155</v>
      </c>
    </row>
    <row r="221" spans="2:15" ht="15.75" thickBot="1" x14ac:dyDescent="0.3">
      <c r="B221" s="8" t="s">
        <v>17</v>
      </c>
      <c r="C221" s="41">
        <v>341</v>
      </c>
      <c r="D221" s="41">
        <v>308</v>
      </c>
      <c r="E221" s="41">
        <v>341</v>
      </c>
      <c r="F221" s="41">
        <v>330</v>
      </c>
      <c r="G221" s="41">
        <v>341</v>
      </c>
      <c r="H221" s="41">
        <v>330</v>
      </c>
      <c r="I221" s="41">
        <v>341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18">
        <v>2332</v>
      </c>
    </row>
    <row r="222" spans="2:15" ht="15.75" thickBot="1" x14ac:dyDescent="0.3">
      <c r="B222" s="8" t="s">
        <v>18</v>
      </c>
      <c r="C222" s="32">
        <v>79</v>
      </c>
      <c r="D222" s="21">
        <v>71</v>
      </c>
      <c r="E222" s="21">
        <v>66</v>
      </c>
      <c r="F222" s="3">
        <v>85</v>
      </c>
      <c r="G222" s="3">
        <v>86</v>
      </c>
      <c r="H222" s="3">
        <v>69</v>
      </c>
      <c r="I222" s="3">
        <v>110</v>
      </c>
      <c r="J222" s="3"/>
      <c r="K222" s="3"/>
      <c r="L222" s="3"/>
      <c r="M222" s="3"/>
      <c r="N222" s="33"/>
      <c r="O222" s="18">
        <v>566</v>
      </c>
    </row>
    <row r="223" spans="2:15" ht="15.75" thickBot="1" x14ac:dyDescent="0.3">
      <c r="B223" s="8" t="s">
        <v>19</v>
      </c>
      <c r="C223" s="32">
        <v>82</v>
      </c>
      <c r="D223" s="21">
        <v>74</v>
      </c>
      <c r="E223" s="21">
        <v>96</v>
      </c>
      <c r="F223" s="3">
        <v>95</v>
      </c>
      <c r="G223" s="3">
        <v>86</v>
      </c>
      <c r="H223" s="3">
        <v>97</v>
      </c>
      <c r="I223" s="3">
        <v>118</v>
      </c>
      <c r="J223" s="3"/>
      <c r="K223" s="3"/>
      <c r="L223" s="3"/>
      <c r="M223" s="3"/>
      <c r="N223" s="33"/>
      <c r="O223" s="18">
        <v>648</v>
      </c>
    </row>
    <row r="224" spans="2:15" ht="15.75" thickBot="1" x14ac:dyDescent="0.3">
      <c r="B224" s="9" t="s">
        <v>51</v>
      </c>
      <c r="C224" s="75">
        <v>82</v>
      </c>
      <c r="D224" s="76">
        <v>105</v>
      </c>
      <c r="E224" s="76">
        <v>72</v>
      </c>
      <c r="F224" s="77">
        <v>89</v>
      </c>
      <c r="G224" s="76">
        <v>109</v>
      </c>
      <c r="H224" s="76">
        <v>72</v>
      </c>
      <c r="I224" s="76">
        <v>114</v>
      </c>
      <c r="J224" s="76"/>
      <c r="K224" s="76"/>
      <c r="L224" s="76"/>
      <c r="M224" s="76"/>
      <c r="N224" s="78"/>
      <c r="O224" s="18">
        <v>643</v>
      </c>
    </row>
    <row r="225" spans="2:15" ht="15.75" thickBot="1" x14ac:dyDescent="0.3">
      <c r="B225" s="38" t="s">
        <v>21</v>
      </c>
      <c r="C225" s="70">
        <v>3.4347826086956523</v>
      </c>
      <c r="D225" s="71">
        <v>5.0714285714285712</v>
      </c>
      <c r="E225" s="71">
        <v>2.5384615384615383</v>
      </c>
      <c r="F225" s="71">
        <v>4.25</v>
      </c>
      <c r="G225" s="71">
        <v>3.0714285714285716</v>
      </c>
      <c r="H225" s="71">
        <v>3.45</v>
      </c>
      <c r="I225" s="71">
        <v>4.583333333333333</v>
      </c>
      <c r="J225" s="71" t="s">
        <v>22</v>
      </c>
      <c r="K225" s="71" t="s">
        <v>22</v>
      </c>
      <c r="L225" s="71" t="s">
        <v>22</v>
      </c>
      <c r="M225" s="71" t="s">
        <v>22</v>
      </c>
      <c r="N225" s="73" t="s">
        <v>22</v>
      </c>
      <c r="O225" s="47">
        <v>3.6516129032258067</v>
      </c>
    </row>
    <row r="226" spans="2:15" ht="15.75" thickBot="1" x14ac:dyDescent="0.3">
      <c r="B226" s="38" t="s">
        <v>23</v>
      </c>
      <c r="C226" s="42">
        <v>2.0909090909090908</v>
      </c>
      <c r="D226" s="42">
        <v>1.2727272727272727</v>
      </c>
      <c r="E226" s="42">
        <v>2.3636363636363638</v>
      </c>
      <c r="F226" s="42">
        <v>1.8181818181818181</v>
      </c>
      <c r="G226" s="42">
        <v>2.5454545454545454</v>
      </c>
      <c r="H226" s="42">
        <v>1.8181818181818181</v>
      </c>
      <c r="I226" s="42">
        <v>2.1818181818181817</v>
      </c>
      <c r="J226" s="42" t="s">
        <v>22</v>
      </c>
      <c r="K226" s="42" t="s">
        <v>22</v>
      </c>
      <c r="L226" s="42" t="s">
        <v>22</v>
      </c>
      <c r="M226" s="42" t="s">
        <v>22</v>
      </c>
      <c r="N226" s="46" t="s">
        <v>22</v>
      </c>
      <c r="O226" s="87">
        <v>2.0129870129870131</v>
      </c>
    </row>
    <row r="227" spans="2:15" ht="15.75" thickBot="1" x14ac:dyDescent="0.3">
      <c r="B227" s="38" t="s">
        <v>24</v>
      </c>
      <c r="C227" s="42">
        <v>11.260869565217391</v>
      </c>
      <c r="D227" s="42">
        <v>14.5</v>
      </c>
      <c r="E227" s="42">
        <v>10.346153846153847</v>
      </c>
      <c r="F227" s="42">
        <v>12.05</v>
      </c>
      <c r="G227" s="42">
        <v>8.2857142857142865</v>
      </c>
      <c r="H227" s="42">
        <v>12.9</v>
      </c>
      <c r="I227" s="42">
        <v>9.4583333333333339</v>
      </c>
      <c r="J227" s="42" t="s">
        <v>22</v>
      </c>
      <c r="K227" s="42" t="s">
        <v>22</v>
      </c>
      <c r="L227" s="42" t="s">
        <v>22</v>
      </c>
      <c r="M227" s="42" t="s">
        <v>22</v>
      </c>
      <c r="N227" s="42" t="s">
        <v>22</v>
      </c>
      <c r="O227" s="47">
        <v>10.896774193548387</v>
      </c>
    </row>
    <row r="228" spans="2:15" ht="15.75" thickBot="1" x14ac:dyDescent="0.3">
      <c r="B228" s="38" t="s">
        <v>25</v>
      </c>
      <c r="C228" s="42">
        <v>24.046920821114369</v>
      </c>
      <c r="D228" s="42">
        <v>34.090909090909086</v>
      </c>
      <c r="E228" s="42">
        <v>21.114369501466275</v>
      </c>
      <c r="F228" s="42">
        <v>26.969696969696972</v>
      </c>
      <c r="G228" s="42">
        <v>31.964809384164223</v>
      </c>
      <c r="H228" s="42">
        <v>21.818181818181817</v>
      </c>
      <c r="I228" s="42">
        <v>33.431085043988269</v>
      </c>
      <c r="J228" s="42" t="s">
        <v>22</v>
      </c>
      <c r="K228" s="42" t="s">
        <v>22</v>
      </c>
      <c r="L228" s="42" t="s">
        <v>22</v>
      </c>
      <c r="M228" s="42" t="s">
        <v>22</v>
      </c>
      <c r="N228" s="46" t="s">
        <v>22</v>
      </c>
      <c r="O228" s="47">
        <v>27.572898799313894</v>
      </c>
    </row>
    <row r="229" spans="2:15" ht="15.75" thickBot="1" x14ac:dyDescent="0.3">
      <c r="B229" s="8" t="s">
        <v>26</v>
      </c>
      <c r="C229" s="41">
        <v>0</v>
      </c>
      <c r="D229" s="41">
        <v>0</v>
      </c>
      <c r="E229" s="41">
        <v>0</v>
      </c>
      <c r="F229" s="41">
        <v>0</v>
      </c>
      <c r="G229" s="41">
        <v>0</v>
      </c>
      <c r="H229" s="41">
        <v>0</v>
      </c>
      <c r="I229" s="41">
        <v>1</v>
      </c>
      <c r="J229" s="41">
        <v>0</v>
      </c>
      <c r="K229" s="41">
        <v>0</v>
      </c>
      <c r="L229" s="41">
        <v>0</v>
      </c>
      <c r="M229" s="41">
        <v>0</v>
      </c>
      <c r="N229" s="45">
        <v>0</v>
      </c>
      <c r="O229" s="18">
        <v>1</v>
      </c>
    </row>
    <row r="230" spans="2:15" ht="15.75" thickBot="1" x14ac:dyDescent="0.3">
      <c r="B230" s="8" t="s">
        <v>52</v>
      </c>
      <c r="C230" s="32">
        <v>0</v>
      </c>
      <c r="D230" s="21">
        <v>0</v>
      </c>
      <c r="E230" s="21">
        <v>0</v>
      </c>
      <c r="F230" s="3">
        <v>0</v>
      </c>
      <c r="G230" s="3">
        <v>0</v>
      </c>
      <c r="H230" s="3">
        <v>0</v>
      </c>
      <c r="I230" s="3">
        <v>0</v>
      </c>
      <c r="J230" s="3"/>
      <c r="K230" s="3"/>
      <c r="L230" s="3"/>
      <c r="M230" s="3"/>
      <c r="N230" s="33"/>
      <c r="O230" s="18">
        <v>0</v>
      </c>
    </row>
    <row r="231" spans="2:15" ht="15.75" thickBot="1" x14ac:dyDescent="0.3">
      <c r="B231" s="8" t="s">
        <v>53</v>
      </c>
      <c r="C231" s="32">
        <v>0</v>
      </c>
      <c r="D231" s="21">
        <v>0</v>
      </c>
      <c r="E231" s="21">
        <v>0</v>
      </c>
      <c r="F231" s="3">
        <v>0</v>
      </c>
      <c r="G231" s="3">
        <v>0</v>
      </c>
      <c r="H231" s="3">
        <v>0</v>
      </c>
      <c r="I231" s="3">
        <v>1</v>
      </c>
      <c r="J231" s="3"/>
      <c r="K231" s="3"/>
      <c r="L231" s="3"/>
      <c r="M231" s="3"/>
      <c r="N231" s="33"/>
      <c r="O231" s="18">
        <v>1</v>
      </c>
    </row>
    <row r="232" spans="2:15" ht="15.75" thickBot="1" x14ac:dyDescent="0.3">
      <c r="B232" s="15" t="s">
        <v>31</v>
      </c>
      <c r="C232" s="25">
        <v>0</v>
      </c>
      <c r="D232" s="25">
        <v>0</v>
      </c>
      <c r="E232" s="25">
        <v>0</v>
      </c>
      <c r="F232" s="34">
        <v>0</v>
      </c>
      <c r="G232" s="34">
        <v>0</v>
      </c>
      <c r="H232" s="34">
        <v>0</v>
      </c>
      <c r="I232" s="34">
        <v>0</v>
      </c>
      <c r="J232" s="34"/>
      <c r="K232" s="34"/>
      <c r="L232" s="34"/>
      <c r="M232" s="34"/>
      <c r="N232" s="35"/>
      <c r="O232" s="28">
        <v>0</v>
      </c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4"/>
      <c r="M234" s="1"/>
      <c r="N234" s="1"/>
      <c r="O234" s="1"/>
    </row>
    <row r="235" spans="2:15" x14ac:dyDescent="0.25"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</sheetData>
  <mergeCells count="20">
    <mergeCell ref="C215:M215"/>
    <mergeCell ref="N215:O215"/>
    <mergeCell ref="C142:M142"/>
    <mergeCell ref="N142:O142"/>
    <mergeCell ref="C175:M175"/>
    <mergeCell ref="N175:O175"/>
    <mergeCell ref="C195:M195"/>
    <mergeCell ref="N195:O195"/>
    <mergeCell ref="C82:M82"/>
    <mergeCell ref="N82:O82"/>
    <mergeCell ref="C102:M102"/>
    <mergeCell ref="N102:O102"/>
    <mergeCell ref="C122:M122"/>
    <mergeCell ref="N122:O122"/>
    <mergeCell ref="C62:M62"/>
    <mergeCell ref="N62:O62"/>
    <mergeCell ref="C40:M40"/>
    <mergeCell ref="N40:O40"/>
    <mergeCell ref="C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2012</vt:lpstr>
      <vt:lpstr>2013</vt:lpstr>
      <vt:lpstr>2014</vt:lpstr>
      <vt:lpstr>2015</vt:lpstr>
      <vt:lpstr>2016</vt:lpstr>
      <vt:lpstr>2017</vt:lpstr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estadi13</dc:creator>
  <cp:lastModifiedBy>estadi13</cp:lastModifiedBy>
  <dcterms:created xsi:type="dcterms:W3CDTF">2018-09-04T23:42:48Z</dcterms:created>
  <dcterms:modified xsi:type="dcterms:W3CDTF">2018-09-05T14:21:45Z</dcterms:modified>
</cp:coreProperties>
</file>